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b5b23bae1f538ad6/Documents/DPhil/Radcliffe Met/"/>
    </mc:Choice>
  </mc:AlternateContent>
  <xr:revisionPtr revIDLastSave="422" documentId="13_ncr:1_{4029BD1C-1EFE-4518-A3F9-B129764C4F1C}" xr6:coauthVersionLast="47" xr6:coauthVersionMax="47" xr10:uidLastSave="{85F280C9-0F6F-47E8-AFEE-F90EB3BE38F1}"/>
  <bookViews>
    <workbookView xWindow="25080" yWindow="-120" windowWidth="25440" windowHeight="15270" xr2:uid="{00000000-000D-0000-FFFF-FFFF00000000}"/>
  </bookViews>
  <sheets>
    <sheet name="Summary" sheetId="1" r:id="rId1"/>
    <sheet name="Daily_data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1" l="1"/>
  <c r="V16" i="1"/>
  <c r="V17" i="1"/>
  <c r="V13" i="1"/>
  <c r="V14" i="1"/>
  <c r="V15" i="1"/>
  <c r="V18" i="1"/>
  <c r="V20" i="1"/>
  <c r="V21" i="1"/>
  <c r="V22" i="1"/>
  <c r="V23" i="1"/>
  <c r="V24" i="1"/>
  <c r="V25" i="1"/>
  <c r="V28" i="1"/>
  <c r="V29" i="1"/>
  <c r="V30" i="1"/>
  <c r="V31" i="1"/>
  <c r="V33" i="1"/>
  <c r="V34" i="1"/>
  <c r="V37" i="1"/>
  <c r="V38" i="1"/>
  <c r="V12" i="1"/>
  <c r="Y378" i="3"/>
  <c r="Z372" i="3"/>
  <c r="Y372" i="3"/>
  <c r="Y374" i="3"/>
  <c r="Y373" i="3"/>
  <c r="X375" i="3"/>
  <c r="X374" i="3"/>
  <c r="X373" i="3"/>
  <c r="W378" i="3"/>
  <c r="W375" i="3"/>
  <c r="W374" i="3"/>
  <c r="W373" i="3"/>
  <c r="U378" i="3"/>
  <c r="U375" i="3"/>
  <c r="U374" i="3"/>
  <c r="U373" i="3"/>
  <c r="T375" i="3"/>
  <c r="T374" i="3"/>
  <c r="T373" i="3"/>
  <c r="S375" i="3"/>
  <c r="S374" i="3"/>
  <c r="S373" i="3"/>
  <c r="R375" i="3"/>
  <c r="R374" i="3"/>
  <c r="R373" i="3"/>
  <c r="Q375" i="3"/>
  <c r="Q374" i="3"/>
  <c r="Q373" i="3"/>
  <c r="N375" i="3"/>
  <c r="N374" i="3"/>
  <c r="N373" i="3"/>
  <c r="M375" i="3"/>
  <c r="M374" i="3"/>
  <c r="M373" i="3"/>
  <c r="L378" i="3"/>
  <c r="L374" i="3"/>
  <c r="I378" i="3"/>
  <c r="I375" i="3"/>
  <c r="I374" i="3"/>
  <c r="G373" i="3"/>
  <c r="F373" i="3"/>
  <c r="D375" i="3"/>
  <c r="D374" i="3"/>
  <c r="B375" i="3"/>
  <c r="B374" i="3"/>
  <c r="B373" i="3"/>
  <c r="D373" i="3"/>
  <c r="V337" i="3" l="1"/>
  <c r="P337" i="3"/>
  <c r="O337" i="3"/>
  <c r="H337" i="3"/>
  <c r="C337" i="3"/>
  <c r="E337" i="3" s="1"/>
  <c r="V336" i="3"/>
  <c r="P336" i="3"/>
  <c r="O336" i="3"/>
  <c r="H336" i="3"/>
  <c r="C336" i="3"/>
  <c r="E336" i="3" s="1"/>
  <c r="V335" i="3"/>
  <c r="P335" i="3"/>
  <c r="O335" i="3"/>
  <c r="H335" i="3"/>
  <c r="C335" i="3"/>
  <c r="E335" i="3" s="1"/>
  <c r="V334" i="3"/>
  <c r="P334" i="3"/>
  <c r="O334" i="3"/>
  <c r="H334" i="3"/>
  <c r="C334" i="3"/>
  <c r="E334" i="3" s="1"/>
  <c r="V333" i="3"/>
  <c r="P333" i="3"/>
  <c r="O333" i="3"/>
  <c r="H333" i="3"/>
  <c r="C333" i="3"/>
  <c r="E333" i="3" s="1"/>
  <c r="V332" i="3"/>
  <c r="P332" i="3"/>
  <c r="O332" i="3"/>
  <c r="H332" i="3"/>
  <c r="C332" i="3"/>
  <c r="E332" i="3" s="1"/>
  <c r="V331" i="3"/>
  <c r="P331" i="3"/>
  <c r="O331" i="3"/>
  <c r="H331" i="3"/>
  <c r="C331" i="3"/>
  <c r="E331" i="3" s="1"/>
  <c r="V330" i="3"/>
  <c r="P330" i="3"/>
  <c r="O330" i="3"/>
  <c r="H330" i="3"/>
  <c r="C330" i="3"/>
  <c r="E330" i="3" s="1"/>
  <c r="V329" i="3"/>
  <c r="P329" i="3"/>
  <c r="O329" i="3"/>
  <c r="H329" i="3"/>
  <c r="C329" i="3"/>
  <c r="E329" i="3" s="1"/>
  <c r="V328" i="3"/>
  <c r="P328" i="3"/>
  <c r="O328" i="3"/>
  <c r="H328" i="3"/>
  <c r="C328" i="3"/>
  <c r="E328" i="3" s="1"/>
  <c r="V327" i="3"/>
  <c r="P327" i="3"/>
  <c r="O327" i="3"/>
  <c r="H327" i="3"/>
  <c r="C327" i="3"/>
  <c r="E327" i="3" s="1"/>
  <c r="V326" i="3"/>
  <c r="P326" i="3"/>
  <c r="O326" i="3"/>
  <c r="H326" i="3"/>
  <c r="C326" i="3"/>
  <c r="E326" i="3" s="1"/>
  <c r="V325" i="3"/>
  <c r="P325" i="3"/>
  <c r="O325" i="3"/>
  <c r="H325" i="3"/>
  <c r="C325" i="3"/>
  <c r="E325" i="3" s="1"/>
  <c r="V324" i="3"/>
  <c r="P324" i="3"/>
  <c r="O324" i="3"/>
  <c r="H324" i="3"/>
  <c r="C324" i="3"/>
  <c r="E324" i="3" s="1"/>
  <c r="V323" i="3"/>
  <c r="P323" i="3"/>
  <c r="O323" i="3"/>
  <c r="H323" i="3"/>
  <c r="C323" i="3"/>
  <c r="E323" i="3" s="1"/>
  <c r="V322" i="3"/>
  <c r="P322" i="3"/>
  <c r="O322" i="3"/>
  <c r="H322" i="3"/>
  <c r="C322" i="3"/>
  <c r="E322" i="3" s="1"/>
  <c r="V321" i="3"/>
  <c r="P321" i="3"/>
  <c r="O321" i="3"/>
  <c r="H321" i="3"/>
  <c r="C321" i="3"/>
  <c r="E321" i="3" s="1"/>
  <c r="V320" i="3"/>
  <c r="P320" i="3"/>
  <c r="O320" i="3"/>
  <c r="H320" i="3"/>
  <c r="C320" i="3"/>
  <c r="E320" i="3" s="1"/>
  <c r="V319" i="3"/>
  <c r="P319" i="3"/>
  <c r="O319" i="3"/>
  <c r="H319" i="3"/>
  <c r="C319" i="3"/>
  <c r="E319" i="3" s="1"/>
  <c r="V318" i="3"/>
  <c r="P318" i="3"/>
  <c r="O318" i="3"/>
  <c r="H318" i="3"/>
  <c r="C318" i="3"/>
  <c r="E318" i="3" s="1"/>
  <c r="V317" i="3"/>
  <c r="P317" i="3"/>
  <c r="O317" i="3"/>
  <c r="H317" i="3"/>
  <c r="C317" i="3"/>
  <c r="E317" i="3" s="1"/>
  <c r="V316" i="3"/>
  <c r="P316" i="3"/>
  <c r="O316" i="3"/>
  <c r="H316" i="3"/>
  <c r="C316" i="3"/>
  <c r="E316" i="3" s="1"/>
  <c r="V315" i="3"/>
  <c r="P315" i="3"/>
  <c r="O315" i="3"/>
  <c r="H315" i="3"/>
  <c r="C315" i="3"/>
  <c r="E315" i="3" s="1"/>
  <c r="V314" i="3"/>
  <c r="P314" i="3"/>
  <c r="O314" i="3"/>
  <c r="H314" i="3"/>
  <c r="C314" i="3"/>
  <c r="E314" i="3" s="1"/>
  <c r="V313" i="3"/>
  <c r="P313" i="3"/>
  <c r="O313" i="3"/>
  <c r="H313" i="3"/>
  <c r="C313" i="3"/>
  <c r="E313" i="3" s="1"/>
  <c r="V312" i="3"/>
  <c r="P312" i="3"/>
  <c r="O312" i="3"/>
  <c r="H312" i="3"/>
  <c r="C312" i="3"/>
  <c r="E312" i="3" s="1"/>
  <c r="V311" i="3"/>
  <c r="P311" i="3"/>
  <c r="O311" i="3"/>
  <c r="H311" i="3"/>
  <c r="C311" i="3"/>
  <c r="E311" i="3" s="1"/>
  <c r="V310" i="3"/>
  <c r="P310" i="3"/>
  <c r="O310" i="3"/>
  <c r="H310" i="3"/>
  <c r="C310" i="3"/>
  <c r="E310" i="3" s="1"/>
  <c r="V309" i="3"/>
  <c r="P309" i="3"/>
  <c r="O309" i="3"/>
  <c r="H309" i="3"/>
  <c r="C309" i="3"/>
  <c r="E309" i="3" s="1"/>
  <c r="V308" i="3"/>
  <c r="P308" i="3"/>
  <c r="O308" i="3"/>
  <c r="H308" i="3"/>
  <c r="C308" i="3"/>
  <c r="E308" i="3" s="1"/>
  <c r="V307" i="3"/>
  <c r="P307" i="3"/>
  <c r="O307" i="3"/>
  <c r="H307" i="3"/>
  <c r="C307" i="3"/>
  <c r="E307" i="3" s="1"/>
  <c r="V306" i="3"/>
  <c r="P306" i="3"/>
  <c r="O306" i="3"/>
  <c r="H306" i="3"/>
  <c r="C306" i="3"/>
  <c r="E306" i="3" s="1"/>
  <c r="V305" i="3"/>
  <c r="P305" i="3"/>
  <c r="O305" i="3"/>
  <c r="H305" i="3"/>
  <c r="C305" i="3"/>
  <c r="E305" i="3" s="1"/>
  <c r="V304" i="3"/>
  <c r="P304" i="3"/>
  <c r="O304" i="3"/>
  <c r="H304" i="3"/>
  <c r="C304" i="3"/>
  <c r="E304" i="3" s="1"/>
  <c r="V303" i="3"/>
  <c r="P303" i="3"/>
  <c r="O303" i="3"/>
  <c r="H303" i="3"/>
  <c r="C303" i="3"/>
  <c r="E303" i="3" s="1"/>
  <c r="V302" i="3"/>
  <c r="P302" i="3"/>
  <c r="O302" i="3"/>
  <c r="H302" i="3"/>
  <c r="C302" i="3"/>
  <c r="E302" i="3" s="1"/>
  <c r="V301" i="3"/>
  <c r="P301" i="3"/>
  <c r="O301" i="3"/>
  <c r="H301" i="3"/>
  <c r="C301" i="3"/>
  <c r="E301" i="3" s="1"/>
  <c r="V300" i="3"/>
  <c r="P300" i="3"/>
  <c r="O300" i="3"/>
  <c r="H300" i="3"/>
  <c r="C300" i="3"/>
  <c r="E300" i="3" s="1"/>
  <c r="V299" i="3"/>
  <c r="P299" i="3"/>
  <c r="O299" i="3"/>
  <c r="H299" i="3"/>
  <c r="C299" i="3"/>
  <c r="E299" i="3" s="1"/>
  <c r="V298" i="3"/>
  <c r="P298" i="3"/>
  <c r="O298" i="3"/>
  <c r="H298" i="3"/>
  <c r="C298" i="3"/>
  <c r="E298" i="3" s="1"/>
  <c r="V297" i="3"/>
  <c r="P297" i="3"/>
  <c r="O297" i="3"/>
  <c r="H297" i="3"/>
  <c r="C297" i="3"/>
  <c r="E297" i="3" s="1"/>
  <c r="V296" i="3"/>
  <c r="P296" i="3"/>
  <c r="O296" i="3"/>
  <c r="H296" i="3"/>
  <c r="C296" i="3"/>
  <c r="E296" i="3" s="1"/>
  <c r="V295" i="3"/>
  <c r="P295" i="3"/>
  <c r="O295" i="3"/>
  <c r="H295" i="3"/>
  <c r="C295" i="3"/>
  <c r="E295" i="3" s="1"/>
  <c r="V294" i="3"/>
  <c r="P294" i="3"/>
  <c r="O294" i="3"/>
  <c r="H294" i="3"/>
  <c r="C294" i="3"/>
  <c r="E294" i="3" s="1"/>
  <c r="V293" i="3"/>
  <c r="P293" i="3"/>
  <c r="O293" i="3"/>
  <c r="H293" i="3"/>
  <c r="C293" i="3"/>
  <c r="E293" i="3" s="1"/>
  <c r="V292" i="3"/>
  <c r="P292" i="3"/>
  <c r="O292" i="3"/>
  <c r="H292" i="3"/>
  <c r="C292" i="3"/>
  <c r="E292" i="3" s="1"/>
  <c r="V291" i="3"/>
  <c r="P291" i="3"/>
  <c r="O291" i="3"/>
  <c r="H291" i="3"/>
  <c r="C291" i="3"/>
  <c r="E291" i="3" s="1"/>
  <c r="V290" i="3"/>
  <c r="P290" i="3"/>
  <c r="O290" i="3"/>
  <c r="H290" i="3"/>
  <c r="C290" i="3"/>
  <c r="E290" i="3" s="1"/>
  <c r="V289" i="3"/>
  <c r="P289" i="3"/>
  <c r="O289" i="3"/>
  <c r="H289" i="3"/>
  <c r="C289" i="3"/>
  <c r="E289" i="3" s="1"/>
  <c r="V288" i="3"/>
  <c r="P288" i="3"/>
  <c r="O288" i="3"/>
  <c r="H288" i="3"/>
  <c r="C288" i="3"/>
  <c r="E288" i="3" s="1"/>
  <c r="V287" i="3"/>
  <c r="P287" i="3"/>
  <c r="O287" i="3"/>
  <c r="H287" i="3"/>
  <c r="C287" i="3"/>
  <c r="E287" i="3" s="1"/>
  <c r="V286" i="3"/>
  <c r="P286" i="3"/>
  <c r="O286" i="3"/>
  <c r="H286" i="3"/>
  <c r="C286" i="3"/>
  <c r="E286" i="3" s="1"/>
  <c r="V285" i="3"/>
  <c r="P285" i="3"/>
  <c r="O285" i="3"/>
  <c r="H285" i="3"/>
  <c r="C285" i="3"/>
  <c r="E285" i="3" s="1"/>
  <c r="V284" i="3"/>
  <c r="P284" i="3"/>
  <c r="O284" i="3"/>
  <c r="H284" i="3"/>
  <c r="C284" i="3"/>
  <c r="E284" i="3" s="1"/>
  <c r="V283" i="3"/>
  <c r="P283" i="3"/>
  <c r="O283" i="3"/>
  <c r="H283" i="3"/>
  <c r="C283" i="3"/>
  <c r="E283" i="3" s="1"/>
  <c r="V282" i="3"/>
  <c r="P282" i="3"/>
  <c r="O282" i="3"/>
  <c r="H282" i="3"/>
  <c r="C282" i="3"/>
  <c r="E282" i="3" s="1"/>
  <c r="V281" i="3"/>
  <c r="P281" i="3"/>
  <c r="O281" i="3"/>
  <c r="H281" i="3"/>
  <c r="C281" i="3"/>
  <c r="E281" i="3" s="1"/>
  <c r="V280" i="3"/>
  <c r="P280" i="3"/>
  <c r="O280" i="3"/>
  <c r="H280" i="3"/>
  <c r="C280" i="3"/>
  <c r="E280" i="3" s="1"/>
  <c r="V279" i="3"/>
  <c r="P279" i="3"/>
  <c r="O279" i="3"/>
  <c r="H279" i="3"/>
  <c r="C279" i="3"/>
  <c r="E279" i="3" s="1"/>
  <c r="V278" i="3"/>
  <c r="P278" i="3"/>
  <c r="O278" i="3"/>
  <c r="H278" i="3"/>
  <c r="C278" i="3"/>
  <c r="E278" i="3" s="1"/>
  <c r="V277" i="3"/>
  <c r="P277" i="3"/>
  <c r="O277" i="3"/>
  <c r="H277" i="3"/>
  <c r="C277" i="3"/>
  <c r="E277" i="3" s="1"/>
  <c r="V276" i="3"/>
  <c r="P276" i="3"/>
  <c r="O276" i="3"/>
  <c r="H276" i="3"/>
  <c r="C276" i="3"/>
  <c r="E276" i="3" s="1"/>
  <c r="V275" i="3"/>
  <c r="P275" i="3"/>
  <c r="O275" i="3"/>
  <c r="H275" i="3"/>
  <c r="C275" i="3"/>
  <c r="E275" i="3" s="1"/>
  <c r="V274" i="3"/>
  <c r="P274" i="3"/>
  <c r="O274" i="3"/>
  <c r="H274" i="3"/>
  <c r="C274" i="3"/>
  <c r="E274" i="3" s="1"/>
  <c r="V273" i="3"/>
  <c r="P273" i="3"/>
  <c r="O273" i="3"/>
  <c r="H273" i="3"/>
  <c r="C273" i="3"/>
  <c r="E273" i="3" s="1"/>
  <c r="V272" i="3"/>
  <c r="P272" i="3"/>
  <c r="O272" i="3"/>
  <c r="H272" i="3"/>
  <c r="C272" i="3"/>
  <c r="E272" i="3" s="1"/>
  <c r="Z271" i="3"/>
  <c r="V271" i="3"/>
  <c r="P271" i="3"/>
  <c r="O271" i="3"/>
  <c r="H271" i="3"/>
  <c r="C271" i="3"/>
  <c r="E271" i="3" s="1"/>
  <c r="V270" i="3"/>
  <c r="P270" i="3"/>
  <c r="O270" i="3"/>
  <c r="H270" i="3"/>
  <c r="C270" i="3"/>
  <c r="E270" i="3" s="1"/>
  <c r="V269" i="3"/>
  <c r="P269" i="3"/>
  <c r="O269" i="3"/>
  <c r="H269" i="3"/>
  <c r="C269" i="3"/>
  <c r="E269" i="3" s="1"/>
  <c r="V268" i="3"/>
  <c r="P268" i="3"/>
  <c r="O268" i="3"/>
  <c r="H268" i="3"/>
  <c r="C268" i="3"/>
  <c r="E268" i="3" s="1"/>
  <c r="V267" i="3"/>
  <c r="P267" i="3"/>
  <c r="O267" i="3"/>
  <c r="H267" i="3"/>
  <c r="C267" i="3"/>
  <c r="E267" i="3" s="1"/>
  <c r="V266" i="3"/>
  <c r="P266" i="3"/>
  <c r="O266" i="3"/>
  <c r="H266" i="3"/>
  <c r="C266" i="3"/>
  <c r="E266" i="3" s="1"/>
  <c r="Z265" i="3"/>
  <c r="V265" i="3"/>
  <c r="P265" i="3"/>
  <c r="O265" i="3"/>
  <c r="H265" i="3"/>
  <c r="C265" i="3"/>
  <c r="E265" i="3" s="1"/>
  <c r="V264" i="3"/>
  <c r="P264" i="3"/>
  <c r="O264" i="3"/>
  <c r="H264" i="3"/>
  <c r="C264" i="3"/>
  <c r="E264" i="3" s="1"/>
  <c r="V263" i="3"/>
  <c r="P263" i="3"/>
  <c r="O263" i="3"/>
  <c r="H263" i="3"/>
  <c r="C263" i="3"/>
  <c r="E263" i="3" s="1"/>
  <c r="V262" i="3"/>
  <c r="P262" i="3"/>
  <c r="O262" i="3"/>
  <c r="H262" i="3"/>
  <c r="C262" i="3"/>
  <c r="E262" i="3" s="1"/>
  <c r="V261" i="3"/>
  <c r="P261" i="3"/>
  <c r="O261" i="3"/>
  <c r="H261" i="3"/>
  <c r="C261" i="3"/>
  <c r="E261" i="3" s="1"/>
  <c r="V260" i="3"/>
  <c r="P260" i="3"/>
  <c r="O260" i="3"/>
  <c r="H260" i="3"/>
  <c r="C260" i="3"/>
  <c r="E260" i="3" s="1"/>
  <c r="V259" i="3"/>
  <c r="P259" i="3"/>
  <c r="O259" i="3"/>
  <c r="H259" i="3"/>
  <c r="C259" i="3"/>
  <c r="E259" i="3" s="1"/>
  <c r="V258" i="3"/>
  <c r="P258" i="3"/>
  <c r="O258" i="3"/>
  <c r="H258" i="3"/>
  <c r="C258" i="3"/>
  <c r="E258" i="3" s="1"/>
  <c r="V257" i="3"/>
  <c r="P257" i="3"/>
  <c r="O257" i="3"/>
  <c r="H257" i="3"/>
  <c r="C257" i="3"/>
  <c r="E257" i="3" s="1"/>
  <c r="V256" i="3"/>
  <c r="P256" i="3"/>
  <c r="O256" i="3"/>
  <c r="H256" i="3"/>
  <c r="C256" i="3"/>
  <c r="E256" i="3" s="1"/>
  <c r="Z255" i="3"/>
  <c r="V255" i="3"/>
  <c r="P255" i="3"/>
  <c r="O255" i="3"/>
  <c r="H255" i="3"/>
  <c r="C255" i="3"/>
  <c r="E255" i="3" s="1"/>
  <c r="V254" i="3"/>
  <c r="P254" i="3"/>
  <c r="O254" i="3"/>
  <c r="H254" i="3"/>
  <c r="C254" i="3"/>
  <c r="E254" i="3" s="1"/>
  <c r="V253" i="3"/>
  <c r="P253" i="3"/>
  <c r="O253" i="3"/>
  <c r="H253" i="3"/>
  <c r="C253" i="3"/>
  <c r="E253" i="3" s="1"/>
  <c r="Z252" i="3"/>
  <c r="V252" i="3"/>
  <c r="P252" i="3"/>
  <c r="O252" i="3"/>
  <c r="H252" i="3"/>
  <c r="C252" i="3"/>
  <c r="E252" i="3" s="1"/>
  <c r="Z251" i="3"/>
  <c r="V251" i="3"/>
  <c r="P251" i="3"/>
  <c r="O251" i="3"/>
  <c r="H251" i="3"/>
  <c r="C251" i="3"/>
  <c r="E251" i="3" s="1"/>
  <c r="V250" i="3"/>
  <c r="P250" i="3"/>
  <c r="O250" i="3"/>
  <c r="H250" i="3"/>
  <c r="C250" i="3"/>
  <c r="E250" i="3" s="1"/>
  <c r="V249" i="3"/>
  <c r="P249" i="3"/>
  <c r="O249" i="3"/>
  <c r="H249" i="3"/>
  <c r="C249" i="3"/>
  <c r="E249" i="3" s="1"/>
  <c r="V248" i="3"/>
  <c r="P248" i="3"/>
  <c r="O248" i="3"/>
  <c r="H248" i="3"/>
  <c r="C248" i="3"/>
  <c r="E248" i="3" s="1"/>
  <c r="V247" i="3"/>
  <c r="P247" i="3"/>
  <c r="O247" i="3"/>
  <c r="H247" i="3"/>
  <c r="C247" i="3"/>
  <c r="E247" i="3" s="1"/>
  <c r="V246" i="3"/>
  <c r="P246" i="3"/>
  <c r="O246" i="3"/>
  <c r="H246" i="3"/>
  <c r="C246" i="3"/>
  <c r="E246" i="3" s="1"/>
  <c r="V245" i="3"/>
  <c r="P245" i="3"/>
  <c r="O245" i="3"/>
  <c r="H245" i="3"/>
  <c r="C245" i="3"/>
  <c r="E245" i="3" s="1"/>
  <c r="Z244" i="3"/>
  <c r="V244" i="3"/>
  <c r="P244" i="3"/>
  <c r="O244" i="3"/>
  <c r="H244" i="3"/>
  <c r="C244" i="3"/>
  <c r="E244" i="3" s="1"/>
  <c r="V243" i="3"/>
  <c r="P243" i="3"/>
  <c r="O243" i="3"/>
  <c r="H243" i="3"/>
  <c r="C243" i="3"/>
  <c r="E243" i="3" s="1"/>
  <c r="V242" i="3"/>
  <c r="P242" i="3"/>
  <c r="O242" i="3"/>
  <c r="H242" i="3"/>
  <c r="C242" i="3"/>
  <c r="E242" i="3" s="1"/>
  <c r="V241" i="3"/>
  <c r="P241" i="3"/>
  <c r="O241" i="3"/>
  <c r="H241" i="3"/>
  <c r="C241" i="3"/>
  <c r="E241" i="3" s="1"/>
  <c r="V240" i="3"/>
  <c r="P240" i="3"/>
  <c r="O240" i="3"/>
  <c r="H240" i="3"/>
  <c r="C240" i="3"/>
  <c r="E240" i="3" s="1"/>
  <c r="V239" i="3"/>
  <c r="P239" i="3"/>
  <c r="O239" i="3"/>
  <c r="H239" i="3"/>
  <c r="C239" i="3"/>
  <c r="E239" i="3" s="1"/>
  <c r="V238" i="3"/>
  <c r="P238" i="3"/>
  <c r="O238" i="3"/>
  <c r="H238" i="3"/>
  <c r="C238" i="3"/>
  <c r="E238" i="3" s="1"/>
  <c r="V237" i="3"/>
  <c r="P237" i="3"/>
  <c r="O237" i="3"/>
  <c r="H237" i="3"/>
  <c r="C237" i="3"/>
  <c r="E237" i="3" s="1"/>
  <c r="V236" i="3"/>
  <c r="P236" i="3"/>
  <c r="O236" i="3"/>
  <c r="H236" i="3"/>
  <c r="C236" i="3"/>
  <c r="E236" i="3" s="1"/>
  <c r="V235" i="3"/>
  <c r="P235" i="3"/>
  <c r="O235" i="3"/>
  <c r="H235" i="3"/>
  <c r="C235" i="3"/>
  <c r="E235" i="3" s="1"/>
  <c r="V234" i="3"/>
  <c r="P234" i="3"/>
  <c r="O234" i="3"/>
  <c r="H234" i="3"/>
  <c r="C234" i="3"/>
  <c r="E234" i="3" s="1"/>
  <c r="V233" i="3"/>
  <c r="P233" i="3"/>
  <c r="O233" i="3"/>
  <c r="H233" i="3"/>
  <c r="C233" i="3"/>
  <c r="E233" i="3" s="1"/>
  <c r="V232" i="3"/>
  <c r="P232" i="3"/>
  <c r="O232" i="3"/>
  <c r="H232" i="3"/>
  <c r="C232" i="3"/>
  <c r="E232" i="3" s="1"/>
  <c r="V231" i="3"/>
  <c r="P231" i="3"/>
  <c r="O231" i="3"/>
  <c r="H231" i="3"/>
  <c r="C231" i="3"/>
  <c r="E231" i="3" s="1"/>
  <c r="V230" i="3"/>
  <c r="P230" i="3"/>
  <c r="O230" i="3"/>
  <c r="H230" i="3"/>
  <c r="C230" i="3"/>
  <c r="E230" i="3" s="1"/>
  <c r="V229" i="3"/>
  <c r="P229" i="3"/>
  <c r="O229" i="3"/>
  <c r="H229" i="3"/>
  <c r="C229" i="3"/>
  <c r="E229" i="3" s="1"/>
  <c r="V228" i="3"/>
  <c r="P228" i="3"/>
  <c r="O228" i="3"/>
  <c r="H228" i="3"/>
  <c r="C228" i="3"/>
  <c r="E228" i="3" s="1"/>
  <c r="V227" i="3"/>
  <c r="P227" i="3"/>
  <c r="O227" i="3"/>
  <c r="H227" i="3"/>
  <c r="C227" i="3"/>
  <c r="E227" i="3" s="1"/>
  <c r="V226" i="3"/>
  <c r="P226" i="3"/>
  <c r="O226" i="3"/>
  <c r="H226" i="3"/>
  <c r="C226" i="3"/>
  <c r="E226" i="3" s="1"/>
  <c r="V225" i="3"/>
  <c r="P225" i="3"/>
  <c r="O225" i="3"/>
  <c r="H225" i="3"/>
  <c r="C225" i="3"/>
  <c r="E225" i="3" s="1"/>
  <c r="V224" i="3"/>
  <c r="P224" i="3"/>
  <c r="O224" i="3"/>
  <c r="H224" i="3"/>
  <c r="C224" i="3"/>
  <c r="E224" i="3" s="1"/>
  <c r="V223" i="3"/>
  <c r="P223" i="3"/>
  <c r="O223" i="3"/>
  <c r="H223" i="3"/>
  <c r="C223" i="3"/>
  <c r="E223" i="3" s="1"/>
  <c r="V222" i="3"/>
  <c r="P222" i="3"/>
  <c r="O222" i="3"/>
  <c r="H222" i="3"/>
  <c r="C222" i="3"/>
  <c r="E222" i="3" s="1"/>
  <c r="V221" i="3"/>
  <c r="P221" i="3"/>
  <c r="O221" i="3"/>
  <c r="H221" i="3"/>
  <c r="C221" i="3"/>
  <c r="E221" i="3" s="1"/>
  <c r="V220" i="3"/>
  <c r="P220" i="3"/>
  <c r="O220" i="3"/>
  <c r="H220" i="3"/>
  <c r="C220" i="3"/>
  <c r="E220" i="3" s="1"/>
  <c r="V219" i="3"/>
  <c r="P219" i="3"/>
  <c r="O219" i="3"/>
  <c r="H219" i="3"/>
  <c r="C219" i="3"/>
  <c r="E219" i="3" s="1"/>
  <c r="V218" i="3"/>
  <c r="P218" i="3"/>
  <c r="O218" i="3"/>
  <c r="H218" i="3"/>
  <c r="C218" i="3"/>
  <c r="E218" i="3" s="1"/>
  <c r="V217" i="3"/>
  <c r="P217" i="3"/>
  <c r="O217" i="3"/>
  <c r="H217" i="3"/>
  <c r="C217" i="3"/>
  <c r="E217" i="3" s="1"/>
  <c r="V216" i="3"/>
  <c r="P216" i="3"/>
  <c r="O216" i="3"/>
  <c r="H216" i="3"/>
  <c r="C216" i="3"/>
  <c r="E216" i="3" s="1"/>
  <c r="V215" i="3"/>
  <c r="P215" i="3"/>
  <c r="O215" i="3"/>
  <c r="H215" i="3"/>
  <c r="C215" i="3"/>
  <c r="E215" i="3" s="1"/>
  <c r="V214" i="3"/>
  <c r="P214" i="3"/>
  <c r="O214" i="3"/>
  <c r="H214" i="3"/>
  <c r="C214" i="3"/>
  <c r="E214" i="3" s="1"/>
  <c r="Z213" i="3"/>
  <c r="V213" i="3"/>
  <c r="P213" i="3"/>
  <c r="O213" i="3"/>
  <c r="H213" i="3"/>
  <c r="C213" i="3"/>
  <c r="E213" i="3" s="1"/>
  <c r="Z212" i="3"/>
  <c r="V212" i="3"/>
  <c r="P212" i="3"/>
  <c r="O212" i="3"/>
  <c r="H212" i="3"/>
  <c r="C212" i="3"/>
  <c r="E212" i="3" s="1"/>
  <c r="V211" i="3"/>
  <c r="P211" i="3"/>
  <c r="O211" i="3"/>
  <c r="H211" i="3"/>
  <c r="C211" i="3"/>
  <c r="E211" i="3" s="1"/>
  <c r="V210" i="3"/>
  <c r="P210" i="3"/>
  <c r="O210" i="3"/>
  <c r="H210" i="3"/>
  <c r="C210" i="3"/>
  <c r="E210" i="3" s="1"/>
  <c r="V209" i="3"/>
  <c r="P209" i="3"/>
  <c r="O209" i="3"/>
  <c r="H209" i="3"/>
  <c r="C209" i="3"/>
  <c r="E209" i="3" s="1"/>
  <c r="V208" i="3"/>
  <c r="P208" i="3"/>
  <c r="O208" i="3"/>
  <c r="H208" i="3"/>
  <c r="C208" i="3"/>
  <c r="E208" i="3" s="1"/>
  <c r="V207" i="3"/>
  <c r="P207" i="3"/>
  <c r="O207" i="3"/>
  <c r="H207" i="3"/>
  <c r="C207" i="3"/>
  <c r="E207" i="3" s="1"/>
  <c r="V206" i="3"/>
  <c r="P206" i="3"/>
  <c r="O206" i="3"/>
  <c r="H206" i="3"/>
  <c r="C206" i="3"/>
  <c r="E206" i="3" s="1"/>
  <c r="V205" i="3"/>
  <c r="P205" i="3"/>
  <c r="O205" i="3"/>
  <c r="H205" i="3"/>
  <c r="C205" i="3"/>
  <c r="E205" i="3" s="1"/>
  <c r="V204" i="3"/>
  <c r="P204" i="3"/>
  <c r="O204" i="3"/>
  <c r="H204" i="3"/>
  <c r="C204" i="3"/>
  <c r="E204" i="3" s="1"/>
  <c r="V203" i="3"/>
  <c r="P203" i="3"/>
  <c r="O203" i="3"/>
  <c r="H203" i="3"/>
  <c r="C203" i="3"/>
  <c r="E203" i="3" s="1"/>
  <c r="V202" i="3"/>
  <c r="P202" i="3"/>
  <c r="O202" i="3"/>
  <c r="H202" i="3"/>
  <c r="C202" i="3"/>
  <c r="E202" i="3" s="1"/>
  <c r="V201" i="3"/>
  <c r="P201" i="3"/>
  <c r="O201" i="3"/>
  <c r="H201" i="3"/>
  <c r="C201" i="3"/>
  <c r="E201" i="3" s="1"/>
  <c r="V200" i="3"/>
  <c r="P200" i="3"/>
  <c r="O200" i="3"/>
  <c r="H200" i="3"/>
  <c r="C200" i="3"/>
  <c r="E200" i="3" s="1"/>
  <c r="V199" i="3"/>
  <c r="P199" i="3"/>
  <c r="O199" i="3"/>
  <c r="H199" i="3"/>
  <c r="C199" i="3"/>
  <c r="E199" i="3" s="1"/>
  <c r="V198" i="3"/>
  <c r="P198" i="3"/>
  <c r="O198" i="3"/>
  <c r="H198" i="3"/>
  <c r="C198" i="3"/>
  <c r="E198" i="3" s="1"/>
  <c r="V197" i="3"/>
  <c r="P197" i="3"/>
  <c r="O197" i="3"/>
  <c r="H197" i="3"/>
  <c r="C197" i="3"/>
  <c r="E197" i="3" s="1"/>
  <c r="V196" i="3"/>
  <c r="P196" i="3"/>
  <c r="O196" i="3"/>
  <c r="H196" i="3"/>
  <c r="C196" i="3"/>
  <c r="E196" i="3" s="1"/>
  <c r="V195" i="3"/>
  <c r="P195" i="3"/>
  <c r="O195" i="3"/>
  <c r="H195" i="3"/>
  <c r="C195" i="3"/>
  <c r="E195" i="3" s="1"/>
  <c r="V194" i="3"/>
  <c r="P194" i="3"/>
  <c r="O194" i="3"/>
  <c r="H194" i="3"/>
  <c r="C194" i="3"/>
  <c r="E194" i="3" s="1"/>
  <c r="V193" i="3"/>
  <c r="P193" i="3"/>
  <c r="O193" i="3"/>
  <c r="H193" i="3"/>
  <c r="C193" i="3"/>
  <c r="E193" i="3" s="1"/>
  <c r="V192" i="3"/>
  <c r="P192" i="3"/>
  <c r="O192" i="3"/>
  <c r="H192" i="3"/>
  <c r="C192" i="3"/>
  <c r="E192" i="3" s="1"/>
  <c r="V191" i="3"/>
  <c r="P191" i="3"/>
  <c r="O191" i="3"/>
  <c r="H191" i="3"/>
  <c r="C191" i="3"/>
  <c r="E191" i="3" s="1"/>
  <c r="V190" i="3"/>
  <c r="P190" i="3"/>
  <c r="O190" i="3"/>
  <c r="H190" i="3"/>
  <c r="C190" i="3"/>
  <c r="E190" i="3" s="1"/>
  <c r="V189" i="3"/>
  <c r="P189" i="3"/>
  <c r="O189" i="3"/>
  <c r="H189" i="3"/>
  <c r="C189" i="3"/>
  <c r="E189" i="3" s="1"/>
  <c r="Z188" i="3"/>
  <c r="V188" i="3"/>
  <c r="P188" i="3"/>
  <c r="O188" i="3"/>
  <c r="H188" i="3"/>
  <c r="C188" i="3"/>
  <c r="E188" i="3" s="1"/>
  <c r="V187" i="3"/>
  <c r="P187" i="3"/>
  <c r="O187" i="3"/>
  <c r="H187" i="3"/>
  <c r="C187" i="3"/>
  <c r="E187" i="3" s="1"/>
  <c r="V186" i="3"/>
  <c r="P186" i="3"/>
  <c r="O186" i="3"/>
  <c r="H186" i="3"/>
  <c r="C186" i="3"/>
  <c r="E186" i="3" s="1"/>
  <c r="V185" i="3"/>
  <c r="P185" i="3"/>
  <c r="O185" i="3"/>
  <c r="H185" i="3"/>
  <c r="C185" i="3"/>
  <c r="E185" i="3" s="1"/>
  <c r="V154" i="3"/>
  <c r="P154" i="3"/>
  <c r="O154" i="3"/>
  <c r="H154" i="3"/>
  <c r="C154" i="3"/>
  <c r="E154" i="3" s="1"/>
  <c r="V153" i="3"/>
  <c r="P153" i="3"/>
  <c r="O153" i="3"/>
  <c r="H153" i="3"/>
  <c r="C153" i="3"/>
  <c r="E153" i="3" s="1"/>
  <c r="V152" i="3"/>
  <c r="P152" i="3"/>
  <c r="O152" i="3"/>
  <c r="H152" i="3"/>
  <c r="C152" i="3"/>
  <c r="E152" i="3" s="1"/>
  <c r="V151" i="3"/>
  <c r="P151" i="3"/>
  <c r="O151" i="3"/>
  <c r="H151" i="3"/>
  <c r="C151" i="3"/>
  <c r="E151" i="3" s="1"/>
  <c r="V150" i="3"/>
  <c r="P150" i="3"/>
  <c r="O150" i="3"/>
  <c r="H150" i="3"/>
  <c r="C150" i="3"/>
  <c r="E150" i="3" s="1"/>
  <c r="V149" i="3"/>
  <c r="P149" i="3"/>
  <c r="O149" i="3"/>
  <c r="H149" i="3"/>
  <c r="C149" i="3"/>
  <c r="E149" i="3" s="1"/>
  <c r="V148" i="3"/>
  <c r="P148" i="3"/>
  <c r="O148" i="3"/>
  <c r="H148" i="3"/>
  <c r="C148" i="3"/>
  <c r="E148" i="3" s="1"/>
  <c r="V147" i="3"/>
  <c r="P147" i="3"/>
  <c r="O147" i="3"/>
  <c r="H147" i="3"/>
  <c r="C147" i="3"/>
  <c r="E147" i="3" s="1"/>
  <c r="V146" i="3"/>
  <c r="P146" i="3"/>
  <c r="O146" i="3"/>
  <c r="H146" i="3"/>
  <c r="C146" i="3"/>
  <c r="E146" i="3" s="1"/>
  <c r="V145" i="3"/>
  <c r="P145" i="3"/>
  <c r="O145" i="3"/>
  <c r="H145" i="3"/>
  <c r="C145" i="3"/>
  <c r="E145" i="3" s="1"/>
  <c r="V144" i="3"/>
  <c r="P144" i="3"/>
  <c r="O144" i="3"/>
  <c r="H144" i="3"/>
  <c r="C144" i="3"/>
  <c r="E144" i="3" s="1"/>
  <c r="V143" i="3"/>
  <c r="P143" i="3"/>
  <c r="O143" i="3"/>
  <c r="H143" i="3"/>
  <c r="C143" i="3"/>
  <c r="E143" i="3" s="1"/>
  <c r="V142" i="3"/>
  <c r="P142" i="3"/>
  <c r="O142" i="3"/>
  <c r="H142" i="3"/>
  <c r="C142" i="3"/>
  <c r="E142" i="3" s="1"/>
  <c r="V141" i="3"/>
  <c r="P141" i="3"/>
  <c r="O141" i="3"/>
  <c r="H141" i="3"/>
  <c r="C141" i="3"/>
  <c r="E141" i="3" s="1"/>
  <c r="V140" i="3"/>
  <c r="P140" i="3"/>
  <c r="O140" i="3"/>
  <c r="H140" i="3"/>
  <c r="C140" i="3"/>
  <c r="E140" i="3" s="1"/>
  <c r="V139" i="3"/>
  <c r="P139" i="3"/>
  <c r="O139" i="3"/>
  <c r="H139" i="3"/>
  <c r="C139" i="3"/>
  <c r="E139" i="3" s="1"/>
  <c r="V138" i="3"/>
  <c r="P138" i="3"/>
  <c r="O138" i="3"/>
  <c r="H138" i="3"/>
  <c r="C138" i="3"/>
  <c r="E138" i="3" s="1"/>
  <c r="Z137" i="3"/>
  <c r="V137" i="3"/>
  <c r="P137" i="3"/>
  <c r="O137" i="3"/>
  <c r="H137" i="3"/>
  <c r="C137" i="3"/>
  <c r="E137" i="3" s="1"/>
  <c r="V136" i="3"/>
  <c r="P136" i="3"/>
  <c r="O136" i="3"/>
  <c r="H136" i="3"/>
  <c r="C136" i="3"/>
  <c r="E136" i="3" s="1"/>
  <c r="V135" i="3"/>
  <c r="P135" i="3"/>
  <c r="O135" i="3"/>
  <c r="H135" i="3"/>
  <c r="C135" i="3"/>
  <c r="E135" i="3" s="1"/>
  <c r="V134" i="3"/>
  <c r="P134" i="3"/>
  <c r="O134" i="3"/>
  <c r="H134" i="3"/>
  <c r="C134" i="3"/>
  <c r="E134" i="3" s="1"/>
  <c r="V133" i="3"/>
  <c r="P133" i="3"/>
  <c r="O133" i="3"/>
  <c r="H133" i="3"/>
  <c r="C133" i="3"/>
  <c r="E133" i="3" s="1"/>
  <c r="V132" i="3"/>
  <c r="P132" i="3"/>
  <c r="O132" i="3"/>
  <c r="H132" i="3"/>
  <c r="C132" i="3"/>
  <c r="E132" i="3" s="1"/>
  <c r="V131" i="3"/>
  <c r="P131" i="3"/>
  <c r="O131" i="3"/>
  <c r="H131" i="3"/>
  <c r="C131" i="3"/>
  <c r="E131" i="3" s="1"/>
  <c r="V130" i="3"/>
  <c r="P130" i="3"/>
  <c r="O130" i="3"/>
  <c r="H130" i="3"/>
  <c r="C130" i="3"/>
  <c r="E130" i="3" s="1"/>
  <c r="V129" i="3"/>
  <c r="P129" i="3"/>
  <c r="O129" i="3"/>
  <c r="H129" i="3"/>
  <c r="C129" i="3"/>
  <c r="E129" i="3" s="1"/>
  <c r="V128" i="3"/>
  <c r="P128" i="3"/>
  <c r="O128" i="3"/>
  <c r="H128" i="3"/>
  <c r="C128" i="3"/>
  <c r="E128" i="3" s="1"/>
  <c r="V127" i="3"/>
  <c r="P127" i="3"/>
  <c r="O127" i="3"/>
  <c r="H127" i="3"/>
  <c r="C127" i="3"/>
  <c r="E127" i="3" s="1"/>
  <c r="V126" i="3"/>
  <c r="P126" i="3"/>
  <c r="O126" i="3"/>
  <c r="H126" i="3"/>
  <c r="C126" i="3"/>
  <c r="E126" i="3" s="1"/>
  <c r="V125" i="3"/>
  <c r="P125" i="3"/>
  <c r="O125" i="3"/>
  <c r="H125" i="3"/>
  <c r="C125" i="3"/>
  <c r="E125" i="3" s="1"/>
  <c r="V124" i="3"/>
  <c r="P124" i="3"/>
  <c r="O124" i="3"/>
  <c r="H124" i="3"/>
  <c r="C124" i="3"/>
  <c r="E124" i="3" s="1"/>
  <c r="V93" i="3"/>
  <c r="P93" i="3"/>
  <c r="O93" i="3"/>
  <c r="H93" i="3"/>
  <c r="C93" i="3"/>
  <c r="E93" i="3" s="1"/>
  <c r="V92" i="3"/>
  <c r="P92" i="3"/>
  <c r="O92" i="3"/>
  <c r="H92" i="3"/>
  <c r="C92" i="3"/>
  <c r="E92" i="3" s="1"/>
  <c r="V91" i="3"/>
  <c r="P91" i="3"/>
  <c r="O91" i="3"/>
  <c r="H91" i="3"/>
  <c r="C91" i="3"/>
  <c r="E91" i="3" s="1"/>
  <c r="V90" i="3"/>
  <c r="P90" i="3"/>
  <c r="O90" i="3"/>
  <c r="H90" i="3"/>
  <c r="C90" i="3"/>
  <c r="E90" i="3" s="1"/>
  <c r="V89" i="3"/>
  <c r="P89" i="3"/>
  <c r="O89" i="3"/>
  <c r="H89" i="3"/>
  <c r="C89" i="3"/>
  <c r="E89" i="3" s="1"/>
  <c r="V88" i="3"/>
  <c r="P88" i="3"/>
  <c r="O88" i="3"/>
  <c r="H88" i="3"/>
  <c r="C88" i="3"/>
  <c r="E88" i="3" s="1"/>
  <c r="V87" i="3"/>
  <c r="P87" i="3"/>
  <c r="O87" i="3"/>
  <c r="H87" i="3"/>
  <c r="C87" i="3"/>
  <c r="E87" i="3" s="1"/>
  <c r="V86" i="3"/>
  <c r="P86" i="3"/>
  <c r="O86" i="3"/>
  <c r="H86" i="3"/>
  <c r="C86" i="3"/>
  <c r="E86" i="3" s="1"/>
  <c r="V85" i="3"/>
  <c r="P85" i="3"/>
  <c r="O85" i="3"/>
  <c r="H85" i="3"/>
  <c r="C85" i="3"/>
  <c r="E85" i="3" s="1"/>
  <c r="V84" i="3"/>
  <c r="P84" i="3"/>
  <c r="O84" i="3"/>
  <c r="H84" i="3"/>
  <c r="C84" i="3"/>
  <c r="E84" i="3" s="1"/>
  <c r="V83" i="3"/>
  <c r="P83" i="3"/>
  <c r="O83" i="3"/>
  <c r="H83" i="3"/>
  <c r="C83" i="3"/>
  <c r="E83" i="3" s="1"/>
  <c r="V82" i="3"/>
  <c r="P82" i="3"/>
  <c r="O82" i="3"/>
  <c r="H82" i="3"/>
  <c r="C82" i="3"/>
  <c r="E82" i="3" s="1"/>
  <c r="V81" i="3"/>
  <c r="P81" i="3"/>
  <c r="O81" i="3"/>
  <c r="H81" i="3"/>
  <c r="C81" i="3"/>
  <c r="E81" i="3" s="1"/>
  <c r="V80" i="3"/>
  <c r="P80" i="3"/>
  <c r="O80" i="3"/>
  <c r="H80" i="3"/>
  <c r="C80" i="3"/>
  <c r="E80" i="3" s="1"/>
  <c r="V79" i="3"/>
  <c r="P79" i="3"/>
  <c r="O79" i="3"/>
  <c r="H79" i="3"/>
  <c r="C79" i="3"/>
  <c r="E79" i="3" s="1"/>
  <c r="V78" i="3"/>
  <c r="P78" i="3"/>
  <c r="O78" i="3"/>
  <c r="H78" i="3"/>
  <c r="C78" i="3"/>
  <c r="E78" i="3" s="1"/>
  <c r="V77" i="3"/>
  <c r="P77" i="3"/>
  <c r="O77" i="3"/>
  <c r="H77" i="3"/>
  <c r="C77" i="3"/>
  <c r="E77" i="3" s="1"/>
  <c r="V76" i="3"/>
  <c r="P76" i="3"/>
  <c r="O76" i="3"/>
  <c r="H76" i="3"/>
  <c r="C76" i="3"/>
  <c r="E76" i="3" s="1"/>
  <c r="V75" i="3"/>
  <c r="P75" i="3"/>
  <c r="O75" i="3"/>
  <c r="H75" i="3"/>
  <c r="C75" i="3"/>
  <c r="E75" i="3" s="1"/>
  <c r="V74" i="3"/>
  <c r="P74" i="3"/>
  <c r="O74" i="3"/>
  <c r="H74" i="3"/>
  <c r="C74" i="3"/>
  <c r="E74" i="3" s="1"/>
  <c r="V73" i="3"/>
  <c r="P73" i="3"/>
  <c r="O73" i="3"/>
  <c r="H73" i="3"/>
  <c r="C73" i="3"/>
  <c r="E73" i="3" s="1"/>
  <c r="V72" i="3"/>
  <c r="P72" i="3"/>
  <c r="O72" i="3"/>
  <c r="H72" i="3"/>
  <c r="C72" i="3"/>
  <c r="E72" i="3" s="1"/>
  <c r="V71" i="3"/>
  <c r="P71" i="3"/>
  <c r="O71" i="3"/>
  <c r="H71" i="3"/>
  <c r="C71" i="3"/>
  <c r="E71" i="3" s="1"/>
  <c r="V70" i="3"/>
  <c r="P70" i="3"/>
  <c r="O70" i="3"/>
  <c r="H70" i="3"/>
  <c r="C70" i="3"/>
  <c r="E70" i="3" s="1"/>
  <c r="V69" i="3"/>
  <c r="P69" i="3"/>
  <c r="O69" i="3"/>
  <c r="H69" i="3"/>
  <c r="C69" i="3"/>
  <c r="E69" i="3" s="1"/>
  <c r="V68" i="3"/>
  <c r="P68" i="3"/>
  <c r="O68" i="3"/>
  <c r="H68" i="3"/>
  <c r="C68" i="3"/>
  <c r="E68" i="3" s="1"/>
  <c r="V67" i="3"/>
  <c r="P67" i="3"/>
  <c r="O67" i="3"/>
  <c r="H67" i="3"/>
  <c r="C67" i="3"/>
  <c r="E67" i="3" s="1"/>
  <c r="V66" i="3"/>
  <c r="P66" i="3"/>
  <c r="O66" i="3"/>
  <c r="H66" i="3"/>
  <c r="C66" i="3"/>
  <c r="E66" i="3" s="1"/>
  <c r="V65" i="3"/>
  <c r="P65" i="3"/>
  <c r="O65" i="3"/>
  <c r="H65" i="3"/>
  <c r="C65" i="3"/>
  <c r="E65" i="3" s="1"/>
  <c r="V64" i="3"/>
  <c r="P64" i="3"/>
  <c r="O64" i="3"/>
  <c r="H64" i="3"/>
  <c r="C64" i="3"/>
  <c r="E64" i="3" s="1"/>
  <c r="V63" i="3"/>
  <c r="P63" i="3"/>
  <c r="O63" i="3"/>
  <c r="H63" i="3"/>
  <c r="C63" i="3"/>
  <c r="E63" i="3" s="1"/>
  <c r="V62" i="3"/>
  <c r="P62" i="3"/>
  <c r="O62" i="3"/>
  <c r="H62" i="3"/>
  <c r="C62" i="3"/>
  <c r="E62" i="3" s="1"/>
  <c r="V61" i="3"/>
  <c r="P61" i="3"/>
  <c r="O61" i="3"/>
  <c r="H61" i="3"/>
  <c r="C61" i="3"/>
  <c r="E61" i="3" s="1"/>
  <c r="V60" i="3"/>
  <c r="P60" i="3"/>
  <c r="O60" i="3"/>
  <c r="H60" i="3"/>
  <c r="C60" i="3"/>
  <c r="E60" i="3" s="1"/>
  <c r="V59" i="3"/>
  <c r="P59" i="3"/>
  <c r="O59" i="3"/>
  <c r="H59" i="3"/>
  <c r="C59" i="3"/>
  <c r="E59" i="3" s="1"/>
  <c r="V58" i="3"/>
  <c r="P58" i="3"/>
  <c r="O58" i="3"/>
  <c r="H58" i="3"/>
  <c r="C58" i="3"/>
  <c r="E58" i="3" s="1"/>
  <c r="V57" i="3"/>
  <c r="P57" i="3"/>
  <c r="O57" i="3"/>
  <c r="H57" i="3"/>
  <c r="C57" i="3"/>
  <c r="E57" i="3" s="1"/>
  <c r="V56" i="3"/>
  <c r="P56" i="3"/>
  <c r="O56" i="3"/>
  <c r="H56" i="3"/>
  <c r="C56" i="3"/>
  <c r="E56" i="3" s="1"/>
  <c r="V55" i="3"/>
  <c r="P55" i="3"/>
  <c r="O55" i="3"/>
  <c r="H55" i="3"/>
  <c r="C55" i="3"/>
  <c r="E55" i="3" s="1"/>
  <c r="V54" i="3"/>
  <c r="P54" i="3"/>
  <c r="O54" i="3"/>
  <c r="H54" i="3"/>
  <c r="C54" i="3"/>
  <c r="E54" i="3" s="1"/>
  <c r="V53" i="3"/>
  <c r="P53" i="3"/>
  <c r="O53" i="3"/>
  <c r="H53" i="3"/>
  <c r="C53" i="3"/>
  <c r="E53" i="3" s="1"/>
  <c r="V52" i="3"/>
  <c r="P52" i="3"/>
  <c r="O52" i="3"/>
  <c r="H52" i="3"/>
  <c r="C52" i="3"/>
  <c r="E52" i="3" s="1"/>
  <c r="V51" i="3"/>
  <c r="P51" i="3"/>
  <c r="O51" i="3"/>
  <c r="H51" i="3"/>
  <c r="C51" i="3"/>
  <c r="E51" i="3" s="1"/>
  <c r="V50" i="3"/>
  <c r="P50" i="3"/>
  <c r="O50" i="3"/>
  <c r="H50" i="3"/>
  <c r="C50" i="3"/>
  <c r="E50" i="3" s="1"/>
  <c r="V49" i="3"/>
  <c r="P49" i="3"/>
  <c r="O49" i="3"/>
  <c r="H49" i="3"/>
  <c r="C49" i="3"/>
  <c r="E49" i="3" s="1"/>
  <c r="V48" i="3"/>
  <c r="P48" i="3"/>
  <c r="O48" i="3"/>
  <c r="H48" i="3"/>
  <c r="C48" i="3"/>
  <c r="E48" i="3" s="1"/>
  <c r="V47" i="3"/>
  <c r="P47" i="3"/>
  <c r="O47" i="3"/>
  <c r="H47" i="3"/>
  <c r="C47" i="3"/>
  <c r="E47" i="3" s="1"/>
  <c r="V46" i="3"/>
  <c r="P46" i="3"/>
  <c r="O46" i="3"/>
  <c r="H46" i="3"/>
  <c r="C46" i="3"/>
  <c r="E46" i="3" s="1"/>
  <c r="V45" i="3"/>
  <c r="P45" i="3"/>
  <c r="O45" i="3"/>
  <c r="H45" i="3"/>
  <c r="C45" i="3"/>
  <c r="E45" i="3" s="1"/>
  <c r="V44" i="3"/>
  <c r="P44" i="3"/>
  <c r="O44" i="3"/>
  <c r="H44" i="3"/>
  <c r="C44" i="3"/>
  <c r="E44" i="3" s="1"/>
  <c r="V43" i="3"/>
  <c r="P43" i="3"/>
  <c r="O43" i="3"/>
  <c r="H43" i="3"/>
  <c r="C43" i="3"/>
  <c r="E43" i="3" s="1"/>
  <c r="V42" i="3"/>
  <c r="P42" i="3"/>
  <c r="O42" i="3"/>
  <c r="H42" i="3"/>
  <c r="C42" i="3"/>
  <c r="E42" i="3" s="1"/>
  <c r="V41" i="3"/>
  <c r="P41" i="3"/>
  <c r="O41" i="3"/>
  <c r="H41" i="3"/>
  <c r="C41" i="3"/>
  <c r="E41" i="3" s="1"/>
  <c r="V40" i="3"/>
  <c r="P40" i="3"/>
  <c r="O40" i="3"/>
  <c r="H40" i="3"/>
  <c r="C40" i="3"/>
  <c r="E40" i="3" s="1"/>
  <c r="V39" i="3"/>
  <c r="P39" i="3"/>
  <c r="O39" i="3"/>
  <c r="H39" i="3"/>
  <c r="C39" i="3"/>
  <c r="E39" i="3" s="1"/>
  <c r="V38" i="3"/>
  <c r="P38" i="3"/>
  <c r="O38" i="3"/>
  <c r="H38" i="3"/>
  <c r="C38" i="3"/>
  <c r="E38" i="3" s="1"/>
  <c r="V37" i="3"/>
  <c r="P37" i="3"/>
  <c r="O37" i="3"/>
  <c r="H37" i="3"/>
  <c r="C37" i="3"/>
  <c r="E37" i="3" s="1"/>
  <c r="V36" i="3"/>
  <c r="P36" i="3"/>
  <c r="O36" i="3"/>
  <c r="H36" i="3"/>
  <c r="C36" i="3"/>
  <c r="E36" i="3" s="1"/>
  <c r="V35" i="3"/>
  <c r="P35" i="3"/>
  <c r="O35" i="3"/>
  <c r="H35" i="3"/>
  <c r="C35" i="3"/>
  <c r="E35" i="3" s="1"/>
  <c r="V34" i="3"/>
  <c r="P34" i="3"/>
  <c r="O34" i="3"/>
  <c r="H34" i="3"/>
  <c r="C34" i="3"/>
  <c r="E34" i="3" s="1"/>
  <c r="V33" i="3"/>
  <c r="P33" i="3"/>
  <c r="O33" i="3"/>
  <c r="H33" i="3"/>
  <c r="C33" i="3"/>
  <c r="E33" i="3" s="1"/>
  <c r="V32" i="3"/>
  <c r="P32" i="3"/>
  <c r="O32" i="3"/>
  <c r="H32" i="3"/>
  <c r="C32" i="3"/>
  <c r="E32" i="3" s="1"/>
  <c r="V31" i="3"/>
  <c r="P31" i="3"/>
  <c r="O31" i="3"/>
  <c r="H31" i="3"/>
  <c r="C31" i="3"/>
  <c r="E31" i="3" s="1"/>
  <c r="V30" i="3"/>
  <c r="P30" i="3"/>
  <c r="O30" i="3"/>
  <c r="H30" i="3"/>
  <c r="C30" i="3"/>
  <c r="E30" i="3" s="1"/>
  <c r="V29" i="3"/>
  <c r="P29" i="3"/>
  <c r="O29" i="3"/>
  <c r="H29" i="3"/>
  <c r="C29" i="3"/>
  <c r="E29" i="3" s="1"/>
  <c r="V28" i="3"/>
  <c r="P28" i="3"/>
  <c r="O28" i="3"/>
  <c r="H28" i="3"/>
  <c r="C28" i="3"/>
  <c r="E28" i="3" s="1"/>
  <c r="V27" i="3"/>
  <c r="P27" i="3"/>
  <c r="O27" i="3"/>
  <c r="H27" i="3"/>
  <c r="C27" i="3"/>
  <c r="E27" i="3" s="1"/>
  <c r="V26" i="3"/>
  <c r="P26" i="3"/>
  <c r="O26" i="3"/>
  <c r="H26" i="3"/>
  <c r="C26" i="3"/>
  <c r="E26" i="3" s="1"/>
  <c r="V25" i="3"/>
  <c r="P25" i="3"/>
  <c r="O25" i="3"/>
  <c r="H25" i="3"/>
  <c r="C25" i="3"/>
  <c r="E25" i="3" s="1"/>
  <c r="V24" i="3"/>
  <c r="P24" i="3"/>
  <c r="O24" i="3"/>
  <c r="H24" i="3"/>
  <c r="C24" i="3"/>
  <c r="E24" i="3" s="1"/>
  <c r="V23" i="3"/>
  <c r="P23" i="3"/>
  <c r="O23" i="3"/>
  <c r="H23" i="3"/>
  <c r="C23" i="3"/>
  <c r="E23" i="3" s="1"/>
  <c r="V22" i="3"/>
  <c r="P22" i="3"/>
  <c r="O22" i="3"/>
  <c r="H22" i="3"/>
  <c r="C22" i="3"/>
  <c r="E22" i="3" s="1"/>
  <c r="V21" i="3"/>
  <c r="P21" i="3"/>
  <c r="O21" i="3"/>
  <c r="H21" i="3"/>
  <c r="C21" i="3"/>
  <c r="E21" i="3" s="1"/>
  <c r="V20" i="3"/>
  <c r="P20" i="3"/>
  <c r="O20" i="3"/>
  <c r="H20" i="3"/>
  <c r="C20" i="3"/>
  <c r="E20" i="3" s="1"/>
  <c r="V19" i="3"/>
  <c r="P19" i="3"/>
  <c r="O19" i="3"/>
  <c r="H19" i="3"/>
  <c r="C19" i="3"/>
  <c r="E19" i="3" s="1"/>
  <c r="V18" i="3"/>
  <c r="P18" i="3"/>
  <c r="O18" i="3"/>
  <c r="H18" i="3"/>
  <c r="C18" i="3"/>
  <c r="E18" i="3" s="1"/>
  <c r="V17" i="3"/>
  <c r="P17" i="3"/>
  <c r="O17" i="3"/>
  <c r="H17" i="3"/>
  <c r="C17" i="3"/>
  <c r="E17" i="3" s="1"/>
  <c r="V16" i="3"/>
  <c r="P16" i="3"/>
  <c r="O16" i="3"/>
  <c r="H16" i="3"/>
  <c r="C16" i="3"/>
  <c r="E16" i="3" s="1"/>
  <c r="V15" i="3"/>
  <c r="P15" i="3"/>
  <c r="O15" i="3"/>
  <c r="H15" i="3"/>
  <c r="C15" i="3"/>
  <c r="E15" i="3" s="1"/>
  <c r="V14" i="3"/>
  <c r="P14" i="3"/>
  <c r="O14" i="3"/>
  <c r="H14" i="3"/>
  <c r="C14" i="3"/>
  <c r="E14" i="3" s="1"/>
  <c r="V13" i="3"/>
  <c r="P13" i="3"/>
  <c r="O13" i="3"/>
  <c r="H13" i="3"/>
  <c r="C13" i="3"/>
  <c r="E13" i="3" s="1"/>
  <c r="V12" i="3"/>
  <c r="P12" i="3"/>
  <c r="O12" i="3"/>
  <c r="H12" i="3"/>
  <c r="C12" i="3"/>
  <c r="E12" i="3" s="1"/>
  <c r="V11" i="3"/>
  <c r="P11" i="3"/>
  <c r="O11" i="3"/>
  <c r="H11" i="3"/>
  <c r="C11" i="3"/>
  <c r="E11" i="3" s="1"/>
  <c r="V10" i="3"/>
  <c r="P10" i="3"/>
  <c r="O10" i="3"/>
  <c r="H10" i="3"/>
  <c r="C10" i="3"/>
  <c r="E10" i="3" s="1"/>
  <c r="V9" i="3"/>
  <c r="P9" i="3"/>
  <c r="O9" i="3"/>
  <c r="H9" i="3"/>
  <c r="C9" i="3"/>
  <c r="E9" i="3" s="1"/>
  <c r="V8" i="3"/>
  <c r="P8" i="3"/>
  <c r="O8" i="3"/>
  <c r="H8" i="3"/>
  <c r="C8" i="3"/>
  <c r="E8" i="3" s="1"/>
  <c r="V7" i="3"/>
  <c r="P7" i="3"/>
  <c r="O7" i="3"/>
  <c r="H7" i="3"/>
  <c r="C7" i="3"/>
  <c r="E7" i="3" s="1"/>
  <c r="V6" i="3"/>
  <c r="P6" i="3"/>
  <c r="O6" i="3"/>
  <c r="H6" i="3"/>
  <c r="C6" i="3"/>
  <c r="E6" i="3" s="1"/>
  <c r="V5" i="3"/>
  <c r="P5" i="3"/>
  <c r="O5" i="3"/>
  <c r="H5" i="3"/>
  <c r="C5" i="3"/>
  <c r="E5" i="3" s="1"/>
  <c r="V4" i="3"/>
  <c r="P4" i="3"/>
  <c r="O4" i="3"/>
  <c r="H4" i="3"/>
  <c r="C4" i="3"/>
  <c r="E4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V3" i="3"/>
  <c r="P3" i="3"/>
  <c r="O3" i="3"/>
  <c r="H3" i="3"/>
  <c r="C3" i="3"/>
  <c r="H373" i="3" l="1"/>
  <c r="Z374" i="3"/>
  <c r="Z373" i="3"/>
  <c r="V374" i="3"/>
  <c r="V375" i="3"/>
  <c r="V373" i="3"/>
  <c r="O375" i="3"/>
  <c r="O374" i="3"/>
  <c r="O373" i="3"/>
  <c r="P374" i="3"/>
  <c r="P373" i="3"/>
  <c r="P375" i="3"/>
  <c r="E3" i="3"/>
  <c r="C375" i="3"/>
  <c r="C374" i="3"/>
  <c r="C373" i="3"/>
  <c r="E375" i="3" l="1"/>
  <c r="E374" i="3"/>
  <c r="E373" i="3"/>
</calcChain>
</file>

<file path=xl/sharedStrings.xml><?xml version="1.0" encoding="utf-8"?>
<sst xmlns="http://schemas.openxmlformats.org/spreadsheetml/2006/main" count="402" uniqueCount="113">
  <si>
    <t>Radcliffe Meteorological Station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</si>
  <si>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</si>
  <si>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</si>
  <si>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</si>
  <si>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</si>
  <si>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</si>
  <si>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</si>
  <si>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</si>
  <si>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</si>
  <si>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</si>
  <si>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</si>
  <si>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</si>
  <si>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</si>
  <si>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No. of rain days (0.2 mm or more rainfall)</t>
  </si>
  <si>
    <t>No. of wet days (1.0 mm or more rainfall)</t>
  </si>
  <si>
    <t>NOTES</t>
  </si>
  <si>
    <t>Yellow denotes anomalies more than 1 standard deviation away from the long-term monthly mean</t>
  </si>
  <si>
    <t>School of Geography and the Environment, University of Oxford</t>
  </si>
  <si>
    <t>Orange denotes anomalies more than 2 standard deviations away from the long-term monthly mean</t>
  </si>
  <si>
    <t>Red denotes anomalies more than 3 standard deviations from the long-term monthly mean</t>
  </si>
  <si>
    <t>Notable Statistics</t>
  </si>
  <si>
    <t>TR</t>
  </si>
  <si>
    <t>tr</t>
  </si>
  <si>
    <t>Barometer AsRead</t>
  </si>
  <si>
    <t>Att Therm</t>
  </si>
  <si>
    <t>MSL pressure</t>
  </si>
  <si>
    <t>Cloud amt</t>
  </si>
  <si>
    <t>Wind speed 50 m</t>
  </si>
  <si>
    <t>Wind speed 10 m</t>
  </si>
  <si>
    <t>Vis-ibility</t>
  </si>
  <si>
    <t>Pres. wx</t>
  </si>
  <si>
    <t>State grd</t>
  </si>
  <si>
    <t>Snow depth</t>
  </si>
  <si>
    <t>Dry bulb</t>
  </si>
  <si>
    <t>Wet bulb</t>
  </si>
  <si>
    <t>Rel. Hum.</t>
  </si>
  <si>
    <t>Dew point</t>
  </si>
  <si>
    <t>10 cm</t>
  </si>
  <si>
    <t xml:space="preserve">30 cm </t>
  </si>
  <si>
    <t>100 cm</t>
  </si>
  <si>
    <t>Max temp</t>
  </si>
  <si>
    <t>Min temp</t>
  </si>
  <si>
    <t>Mean temperature</t>
  </si>
  <si>
    <t>Grass min</t>
  </si>
  <si>
    <t>Conc. Min</t>
  </si>
  <si>
    <t>Rainfall</t>
  </si>
  <si>
    <t>Sun-shine</t>
  </si>
  <si>
    <t>Date</t>
  </si>
  <si>
    <t>InHg</t>
  </si>
  <si>
    <t>hPa</t>
  </si>
  <si>
    <t>°F</t>
  </si>
  <si>
    <t>oktas</t>
  </si>
  <si>
    <t>kn</t>
  </si>
  <si>
    <t>code</t>
  </si>
  <si>
    <t>wx</t>
  </si>
  <si>
    <t>cm</t>
  </si>
  <si>
    <t>°C</t>
  </si>
  <si>
    <t>%</t>
  </si>
  <si>
    <t>mm</t>
  </si>
  <si>
    <t>h</t>
  </si>
  <si>
    <t>Tr</t>
  </si>
  <si>
    <t>-</t>
  </si>
  <si>
    <t xml:space="preserve"> -</t>
  </si>
  <si>
    <t>2024 value</t>
  </si>
  <si>
    <t>Difference</t>
  </si>
  <si>
    <t>1991-2020 average</t>
  </si>
  <si>
    <t>1991-2020 standard deviation</t>
  </si>
  <si>
    <t>Temperature</t>
  </si>
  <si>
    <t>Mean air temperature</t>
  </si>
  <si>
    <t>Mean daily maximum temperature</t>
  </si>
  <si>
    <t>Mean daily minimum temperature</t>
  </si>
  <si>
    <t>Highest maximum temperature</t>
  </si>
  <si>
    <t>Lowest maximum temperature</t>
  </si>
  <si>
    <t>Highest minimum temperature</t>
  </si>
  <si>
    <t>Lowest minimum temperature</t>
  </si>
  <si>
    <t>Air frosts (screen minimum &lt; 0 °C)</t>
  </si>
  <si>
    <t>Mean minimum grass temperature</t>
  </si>
  <si>
    <t>Lowest grass minimum temperature</t>
  </si>
  <si>
    <t>Ground frosts (grass minimum &lt; 0 °C)</t>
  </si>
  <si>
    <t>Mean concrete minimum temperature</t>
  </si>
  <si>
    <t>Lowest concrete minimum temperature</t>
  </si>
  <si>
    <t>Mean soil temperature at 30 cm at 0900 UTC</t>
  </si>
  <si>
    <t>Mean soil temperature at 100 cm at 0900 UTC</t>
  </si>
  <si>
    <t>Precipitation</t>
  </si>
  <si>
    <t>Total precipitation</t>
  </si>
  <si>
    <t>Wettest day</t>
  </si>
  <si>
    <t>Sunshine duration</t>
  </si>
  <si>
    <t>Total bright sunshine</t>
  </si>
  <si>
    <t>Mean daily bright sunshine</t>
  </si>
  <si>
    <t>Sunniest day</t>
  </si>
  <si>
    <t>Mean wind speed at 0900 UTC (at 10 m)</t>
  </si>
  <si>
    <t>No. of days with fog at 0900 UTC</t>
  </si>
  <si>
    <t>No. of days with snow lying at 0900 UTC</t>
  </si>
  <si>
    <t xml:space="preserve"> Difference from
1991-2020 average </t>
  </si>
  <si>
    <t>Units</t>
  </si>
  <si>
    <t>days</t>
  </si>
  <si>
    <t>hours</t>
  </si>
  <si>
    <t>knots</t>
  </si>
  <si>
    <t>374***</t>
  </si>
  <si>
    <t>Red*** denotes anomalies more than 4 standard deviations from the long-term monthly mean</t>
  </si>
  <si>
    <t>Total</t>
  </si>
  <si>
    <t>Mean</t>
  </si>
  <si>
    <t>Maximum</t>
  </si>
  <si>
    <t>Minimum</t>
  </si>
  <si>
    <t>Fog at 09h</t>
  </si>
  <si>
    <t>Snow lying at 09h</t>
  </si>
  <si>
    <t>Air frost</t>
  </si>
  <si>
    <t>Grd frost</t>
  </si>
  <si>
    <t>RainDays</t>
  </si>
  <si>
    <t>Annual Summary of Weather at Oxford for 2024</t>
  </si>
  <si>
    <t>6th wettest year in the Oxford rainfall series</t>
  </si>
  <si>
    <t>4th warmest year in RMS records behind 2022,2023,2014</t>
  </si>
  <si>
    <t>4th wettest day since daily rainfall totals began at 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</si>
</sst>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\£* #,##0.00_-;&quot;-£&quot;* #,##0.00_-;_-\£* \-??_-;_-@_-"/>
    <numFmt numFmtId="166" formatCode="0.000"/>
    <numFmt numFmtId="167" formatCode="d\ mmm"/>
    <numFmt numFmtId="168" formatCode="00"/>
    <numFmt numFmtId="169" formatCode="0.0;\-0.0;0.0;\ \-"/>
    <numFmt numFmtId="170" formatCode="0.0;;\ \-"/>
    <numFmt numFmtId="171" formatCode="0.0;;0"/>
    <numFmt numFmtId="172" formatCode="0.0;;\ \-;@"/>
  </numFmts>
  <fonts count="3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8"/>
      <name val="Allegro BT"/>
      <family val="5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1">
    <xf numFmtId="0" fontId="0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Border="0" applyProtection="0"/>
    <xf numFmtId="0" fontId="24" fillId="0" borderId="0"/>
    <xf numFmtId="165" fontId="24" fillId="0" borderId="0" applyBorder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6" fillId="0" borderId="0"/>
  </cellStyleXfs>
  <cellXfs count="113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0" fillId="0" borderId="0" xfId="0" applyNumberFormat="1" applyAlignment="1">
      <alignment horizontal="left"/>
    </xf>
    <xf numFmtId="0" fontId="0" fillId="33" borderId="1" xfId="0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3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5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1" xfId="0" applyBorder="1"/>
    <xf numFmtId="164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7" fillId="35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5" fillId="0" borderId="1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right" wrapText="1"/>
    </xf>
    <xf numFmtId="0" fontId="29" fillId="0" borderId="16" xfId="0" applyFont="1" applyBorder="1" applyAlignment="1">
      <alignment horizontal="center"/>
    </xf>
    <xf numFmtId="0" fontId="29" fillId="0" borderId="16" xfId="0" applyFont="1" applyBorder="1" applyAlignment="1">
      <alignment horizontal="right"/>
    </xf>
    <xf numFmtId="0" fontId="30" fillId="0" borderId="0" xfId="0" applyFont="1"/>
    <xf numFmtId="164" fontId="4" fillId="33" borderId="12" xfId="0" applyNumberFormat="1" applyFont="1" applyFill="1" applyBorder="1" applyAlignment="1">
      <alignment horizontal="center" vertical="center" wrapText="1"/>
    </xf>
    <xf numFmtId="0" fontId="31" fillId="3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horizontal="left" indent="1"/>
    </xf>
    <xf numFmtId="164" fontId="7" fillId="0" borderId="1" xfId="0" applyNumberFormat="1" applyFont="1" applyBorder="1" applyAlignment="1">
      <alignment horizontal="center" vertical="center" wrapText="1"/>
    </xf>
    <xf numFmtId="164" fontId="0" fillId="35" borderId="1" xfId="0" applyNumberFormat="1" applyFill="1" applyBorder="1" applyAlignment="1">
      <alignment horizontal="center" vertical="center" wrapText="1"/>
    </xf>
    <xf numFmtId="164" fontId="25" fillId="35" borderId="1" xfId="0" applyNumberFormat="1" applyFont="1" applyFill="1" applyBorder="1" applyAlignment="1">
      <alignment horizontal="center" vertical="center" wrapText="1"/>
    </xf>
    <xf numFmtId="164" fontId="0" fillId="36" borderId="1" xfId="0" applyNumberFormat="1" applyFill="1" applyBorder="1" applyAlignment="1">
      <alignment horizontal="center" vertical="center" wrapText="1"/>
    </xf>
    <xf numFmtId="164" fontId="25" fillId="36" borderId="1" xfId="0" applyNumberFormat="1" applyFont="1" applyFill="1" applyBorder="1" applyAlignment="1">
      <alignment horizontal="center" vertical="center" wrapText="1"/>
    </xf>
    <xf numFmtId="164" fontId="25" fillId="34" borderId="1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 indent="1"/>
    </xf>
    <xf numFmtId="0" fontId="4" fillId="3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25" fillId="38" borderId="1" xfId="0" applyNumberFormat="1" applyFont="1" applyFill="1" applyBorder="1" applyAlignment="1">
      <alignment horizontal="center" vertical="center" wrapText="1"/>
    </xf>
    <xf numFmtId="0" fontId="27" fillId="39" borderId="0" xfId="0" applyFont="1" applyFill="1" applyAlignment="1">
      <alignment wrapText="1"/>
    </xf>
    <xf numFmtId="0" fontId="28" fillId="39" borderId="0" xfId="0" applyFont="1" applyFill="1" applyAlignment="1">
      <alignment horizontal="right" wrapText="1"/>
    </xf>
    <xf numFmtId="0" fontId="29" fillId="39" borderId="16" xfId="0" applyFont="1" applyFill="1" applyBorder="1" applyAlignment="1">
      <alignment horizontal="center"/>
    </xf>
    <xf numFmtId="0" fontId="29" fillId="39" borderId="16" xfId="0" applyFont="1" applyFill="1" applyBorder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164" fontId="7" fillId="36" borderId="1" xfId="0" applyNumberFormat="1" applyFont="1" applyFill="1" applyBorder="1" applyAlignment="1">
      <alignment horizontal="center" vertical="center" wrapText="1"/>
    </xf>
    <xf numFmtId="164" fontId="0" fillId="0" borderId="1" xfId="57" applyNumberFormat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6" fillId="0" borderId="1" xfId="0" quotePrefix="1" applyNumberFormat="1" applyFont="1" applyBorder="1" applyAlignment="1">
      <alignment horizontal="center" vertical="center"/>
    </xf>
    <xf numFmtId="164" fontId="6" fillId="35" borderId="1" xfId="0" quotePrefix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6" fillId="36" borderId="1" xfId="0" quotePrefix="1" applyNumberFormat="1" applyFont="1" applyFill="1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7" fillId="35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35" borderId="0" xfId="0" applyFill="1" applyAlignment="1">
      <alignment horizontal="center"/>
    </xf>
    <xf numFmtId="164" fontId="0" fillId="36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0" fontId="0" fillId="38" borderId="0" xfId="0" applyFill="1" applyAlignment="1">
      <alignment horizontal="center"/>
    </xf>
    <xf numFmtId="0" fontId="28" fillId="0" borderId="15" xfId="0" applyFont="1" applyBorder="1" applyAlignment="1">
      <alignment horizontal="center" wrapText="1"/>
    </xf>
    <xf numFmtId="0" fontId="28" fillId="39" borderId="15" xfId="0" applyFont="1" applyFill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167" fontId="30" fillId="0" borderId="0" xfId="0" applyNumberFormat="1" applyFont="1" applyAlignment="1">
      <alignment horizontal="center"/>
    </xf>
    <xf numFmtId="166" fontId="30" fillId="0" borderId="0" xfId="0" applyNumberFormat="1" applyFont="1"/>
    <xf numFmtId="164" fontId="30" fillId="0" borderId="0" xfId="0" applyNumberFormat="1" applyFont="1"/>
    <xf numFmtId="1" fontId="30" fillId="0" borderId="0" xfId="0" applyNumberFormat="1" applyFont="1" applyAlignment="1">
      <alignment horizontal="right"/>
    </xf>
    <xf numFmtId="1" fontId="30" fillId="0" borderId="0" xfId="0" applyNumberFormat="1" applyFont="1"/>
    <xf numFmtId="168" fontId="30" fillId="0" borderId="0" xfId="0" applyNumberFormat="1" applyFont="1" applyAlignment="1">
      <alignment horizontal="right"/>
    </xf>
    <xf numFmtId="0" fontId="34" fillId="0" borderId="0" xfId="0" applyFont="1"/>
    <xf numFmtId="164" fontId="30" fillId="0" borderId="0" xfId="0" applyNumberFormat="1" applyFont="1" applyAlignment="1">
      <alignment horizontal="right"/>
    </xf>
    <xf numFmtId="169" fontId="30" fillId="0" borderId="0" xfId="0" applyNumberFormat="1" applyFont="1" applyAlignment="1">
      <alignment horizontal="right"/>
    </xf>
    <xf numFmtId="170" fontId="30" fillId="0" borderId="0" xfId="0" applyNumberFormat="1" applyFont="1" applyAlignment="1">
      <alignment horizontal="right"/>
    </xf>
    <xf numFmtId="171" fontId="30" fillId="0" borderId="0" xfId="0" applyNumberFormat="1" applyFont="1"/>
    <xf numFmtId="164" fontId="27" fillId="0" borderId="0" xfId="0" applyNumberFormat="1" applyFont="1" applyAlignment="1">
      <alignment horizontal="right"/>
    </xf>
    <xf numFmtId="1" fontId="27" fillId="0" borderId="0" xfId="0" applyNumberFormat="1" applyFont="1" applyAlignment="1">
      <alignment horizontal="right"/>
    </xf>
    <xf numFmtId="166" fontId="34" fillId="0" borderId="0" xfId="0" applyNumberFormat="1" applyFont="1"/>
    <xf numFmtId="164" fontId="34" fillId="0" borderId="0" xfId="0" applyNumberFormat="1" applyFont="1"/>
    <xf numFmtId="1" fontId="34" fillId="0" borderId="0" xfId="0" applyNumberFormat="1" applyFont="1" applyAlignment="1">
      <alignment horizontal="right"/>
    </xf>
    <xf numFmtId="1" fontId="34" fillId="0" borderId="0" xfId="0" applyNumberFormat="1" applyFont="1"/>
    <xf numFmtId="168" fontId="34" fillId="0" borderId="0" xfId="0" applyNumberFormat="1" applyFont="1" applyAlignment="1">
      <alignment horizontal="right"/>
    </xf>
    <xf numFmtId="164" fontId="34" fillId="0" borderId="0" xfId="0" applyNumberFormat="1" applyFont="1" applyAlignment="1">
      <alignment horizontal="right"/>
    </xf>
    <xf numFmtId="169" fontId="34" fillId="0" borderId="0" xfId="0" applyNumberFormat="1" applyFont="1" applyAlignment="1">
      <alignment horizontal="right"/>
    </xf>
    <xf numFmtId="172" fontId="34" fillId="0" borderId="0" xfId="0" applyNumberFormat="1" applyFont="1" applyAlignment="1">
      <alignment horizontal="right"/>
    </xf>
    <xf numFmtId="171" fontId="34" fillId="0" borderId="0" xfId="0" applyNumberFormat="1" applyFont="1"/>
    <xf numFmtId="164" fontId="35" fillId="0" borderId="0" xfId="0" applyNumberFormat="1" applyFont="1" applyAlignment="1">
      <alignment horizontal="right"/>
    </xf>
    <xf numFmtId="1" fontId="35" fillId="0" borderId="0" xfId="0" applyNumberFormat="1" applyFont="1" applyAlignment="1">
      <alignment horizontal="right"/>
    </xf>
    <xf numFmtId="0" fontId="34" fillId="39" borderId="0" xfId="0" applyFont="1" applyFill="1"/>
    <xf numFmtId="166" fontId="34" fillId="39" borderId="0" xfId="0" applyNumberFormat="1" applyFont="1" applyFill="1"/>
    <xf numFmtId="164" fontId="34" fillId="39" borderId="0" xfId="0" applyNumberFormat="1" applyFont="1" applyFill="1"/>
    <xf numFmtId="0" fontId="36" fillId="39" borderId="0" xfId="0" applyFont="1" applyFill="1" applyAlignment="1">
      <alignment horizontal="right"/>
    </xf>
    <xf numFmtId="172" fontId="34" fillId="39" borderId="0" xfId="0" applyNumberFormat="1" applyFont="1" applyFill="1"/>
    <xf numFmtId="1" fontId="34" fillId="39" borderId="0" xfId="0" applyNumberFormat="1" applyFont="1" applyFill="1"/>
    <xf numFmtId="169" fontId="34" fillId="39" borderId="0" xfId="0" applyNumberFormat="1" applyFont="1" applyFill="1"/>
    <xf numFmtId="2" fontId="34" fillId="39" borderId="0" xfId="0" applyNumberFormat="1" applyFont="1" applyFill="1"/>
    <xf numFmtId="0" fontId="37" fillId="39" borderId="0" xfId="0" applyFont="1" applyFill="1"/>
    <xf numFmtId="0" fontId="37" fillId="39" borderId="0" xfId="0" applyFont="1" applyFill="1" applyAlignment="1">
      <alignment horizontal="center"/>
    </xf>
    <xf numFmtId="0" fontId="34" fillId="39" borderId="0" xfId="0" applyFont="1" applyFill="1" applyAlignment="1">
      <alignment horizontal="right"/>
    </xf>
  </cellXfs>
  <cellStyles count="61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7" builtinId="3"/>
    <cellStyle name="Currency 2" xfId="42" xr:uid="{00000000-0005-0000-0000-00001C000000}"/>
    <cellStyle name="Currency 3" xfId="41" xr:uid="{00000000-0005-0000-0000-00001D000000}"/>
    <cellStyle name="Currency 4" xfId="43" xr:uid="{00000000-0005-0000-0000-00001E000000}"/>
    <cellStyle name="Currency 5" xfId="45" xr:uid="{00000000-0005-0000-0000-00001F000000}"/>
    <cellStyle name="Currency 6" xfId="59" xr:uid="{631CD2EF-09F9-448C-922E-394EDC5F3D0F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A000000}"/>
    <cellStyle name="Normal 2 2" xfId="51" xr:uid="{00000000-0005-0000-0000-00002B000000}"/>
    <cellStyle name="Normal 2 3" xfId="47" xr:uid="{00000000-0005-0000-0000-00002C000000}"/>
    <cellStyle name="Normal 3" xfId="48" xr:uid="{00000000-0005-0000-0000-00002D000000}"/>
    <cellStyle name="Normal 3 2" xfId="52" xr:uid="{00000000-0005-0000-0000-00002E000000}"/>
    <cellStyle name="Normal 4" xfId="49" xr:uid="{00000000-0005-0000-0000-00002F000000}"/>
    <cellStyle name="Normal 4 2" xfId="53" xr:uid="{00000000-0005-0000-0000-000030000000}"/>
    <cellStyle name="Normal 5" xfId="50" xr:uid="{00000000-0005-0000-0000-000031000000}"/>
    <cellStyle name="Normal 5 2" xfId="54" xr:uid="{00000000-0005-0000-0000-000032000000}"/>
    <cellStyle name="Normal 6" xfId="55" xr:uid="{00000000-0005-0000-0000-000033000000}"/>
    <cellStyle name="Normal 7" xfId="46" xr:uid="{00000000-0005-0000-0000-000034000000}"/>
    <cellStyle name="Normal 8" xfId="58" xr:uid="{7381FDA2-D05D-462E-829D-50F289ABE829}"/>
    <cellStyle name="Normal 9" xfId="60" xr:uid="{22BC492C-1F77-4243-B52F-AD80825564E7}"/>
    <cellStyle name="Note 2" xfId="56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9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theme="4"/>
      </font>
    </dxf>
    <dxf>
      <font>
        <color theme="4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C00000"/>
      </font>
      <fill>
        <patternFill patternType="none"/>
      </fill>
    </dxf>
    <dxf>
      <font>
        <color theme="4"/>
      </font>
      <fill>
        <patternFill patternType="none"/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theme="4"/>
      </font>
    </dxf>
    <dxf>
      <font>
        <color rgb="FFC00000"/>
      </font>
      <fill>
        <patternFill patternType="none">
          <bgColor auto="1"/>
        </patternFill>
      </fill>
    </dxf>
    <dxf>
      <font>
        <color theme="4"/>
      </font>
    </dxf>
    <dxf>
      <font>
        <color rgb="FFC00000"/>
      </font>
      <fill>
        <patternFill patternType="none">
          <bgColor auto="1"/>
        </patternFill>
      </fill>
    </dxf>
    <dxf>
      <font>
        <color theme="4"/>
      </font>
    </dxf>
    <dxf>
      <font>
        <color rgb="FFC00000"/>
      </font>
      <fill>
        <patternFill patternType="none">
          <bgColor auto="1"/>
        </patternFill>
      </fill>
    </dxf>
    <dxf>
      <font>
        <color theme="4"/>
      </font>
    </dxf>
    <dxf>
      <font>
        <color theme="4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theme="4"/>
      </font>
      <fill>
        <patternFill patternType="none"/>
      </fill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rgb="FF9C0006"/>
      </font>
      <fill>
        <patternFill patternType="none"/>
      </fill>
    </dxf>
    <dxf>
      <font>
        <color theme="4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theme="4"/>
      </font>
      <fill>
        <patternFill patternType="none"/>
      </fill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rgb="FF9C0006"/>
      </font>
    </dxf>
    <dxf>
      <font>
        <color theme="4"/>
      </font>
    </dxf>
    <dxf>
      <font>
        <color theme="4"/>
      </font>
    </dxf>
    <dxf>
      <font>
        <color rgb="FF9C0006"/>
      </font>
    </dxf>
    <dxf>
      <font>
        <color rgb="FF9C0006"/>
      </font>
    </dxf>
    <dxf>
      <font>
        <color theme="4"/>
      </font>
    </dxf>
    <dxf>
      <font>
        <color rgb="FF9C0006"/>
      </font>
      <fill>
        <patternFill patternType="none"/>
      </fill>
    </dxf>
    <dxf>
      <font>
        <color theme="4"/>
      </font>
      <fill>
        <patternFill patternType="none"/>
      </fill>
    </dxf>
    <dxf>
      <font>
        <color theme="4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theme="4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theme="4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theme="4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theme="4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2024%20(1)\jan2024daily.xlsx" TargetMode="External"/><Relationship Id="rId1" Type="http://schemas.openxmlformats.org/officeDocument/2006/relationships/externalLinkPath" Target="file:///C:\Users\charl\Downloads\2024%20(1)\jan2024dail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2024%20(1)\feb2024daily.xlsx" TargetMode="External"/><Relationship Id="rId1" Type="http://schemas.openxmlformats.org/officeDocument/2006/relationships/externalLinkPath" Target="file:///C:\Users\charl\Downloads\2024%20(1)\feb2024dail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2024%20(1)\mar2024daily.xlsx" TargetMode="External"/><Relationship Id="rId1" Type="http://schemas.openxmlformats.org/officeDocument/2006/relationships/externalLinkPath" Target="file:///C:\Users\charl\Downloads\2024%20(1)\mar2024dail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2024%20(1)\may2024daily.xlsx" TargetMode="External"/><Relationship Id="rId1" Type="http://schemas.openxmlformats.org/officeDocument/2006/relationships/externalLinkPath" Target="file:///C:\Users\charl\Downloads\2024%20(1)\may2024daily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2024%20(1)\july2024daily.xlsx" TargetMode="External"/><Relationship Id="rId1" Type="http://schemas.openxmlformats.org/officeDocument/2006/relationships/externalLinkPath" Target="file:///C:\Users\charl\Downloads\2024%20(1)\july2024daily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2024%20(1)\aug2024daily.xlsx" TargetMode="External"/><Relationship Id="rId1" Type="http://schemas.openxmlformats.org/officeDocument/2006/relationships/externalLinkPath" Target="file:///C:\Users\charl\Downloads\2024%20(1)\aug2024daily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2024%20(1)\sept2024daily.xlsx" TargetMode="External"/><Relationship Id="rId1" Type="http://schemas.openxmlformats.org/officeDocument/2006/relationships/externalLinkPath" Target="file:///C:\Users\charl\Downloads\2024%20(1)\sept2024daily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2024%20(1)\oct2024daily.xlsx" TargetMode="External"/><Relationship Id="rId1" Type="http://schemas.openxmlformats.org/officeDocument/2006/relationships/externalLinkPath" Target="file:///C:\Users\charl\Downloads\2024%20(1)\oct2024daily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\Downloads\2024%20(1)\nov2024daily.xlsx" TargetMode="External"/><Relationship Id="rId1" Type="http://schemas.openxmlformats.org/officeDocument/2006/relationships/externalLinkPath" Target="file:///C:\Users\charl\Downloads\2024%20(1)\nov2024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tions"/>
      <sheetName val="Key Statistics"/>
      <sheetName val="Metadata"/>
      <sheetName val="Calc"/>
      <sheetName val="Codes"/>
    </sheetNames>
    <sheetDataSet>
      <sheetData sheetId="0"/>
      <sheetData sheetId="1"/>
      <sheetData sheetId="2"/>
      <sheetData sheetId="3">
        <row r="14">
          <cell r="C14">
            <v>2.2069659989548858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tions"/>
      <sheetName val="Key Statistics"/>
      <sheetName val="Metadata"/>
      <sheetName val="Codes"/>
      <sheetName val="Calc"/>
    </sheetNames>
    <sheetDataSet>
      <sheetData sheetId="0"/>
      <sheetData sheetId="1"/>
      <sheetData sheetId="2"/>
      <sheetData sheetId="3"/>
      <sheetData sheetId="4">
        <row r="14">
          <cell r="C14">
            <v>2.2069659989548858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tions"/>
      <sheetName val="Key Statistics"/>
      <sheetName val="Metadata"/>
      <sheetName val="Codes"/>
      <sheetName val="Calc"/>
    </sheetNames>
    <sheetDataSet>
      <sheetData sheetId="0"/>
      <sheetData sheetId="1"/>
      <sheetData sheetId="2"/>
      <sheetData sheetId="3"/>
      <sheetData sheetId="4">
        <row r="14">
          <cell r="C14">
            <v>2.2069659989548858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tions"/>
      <sheetName val="Key Statistics"/>
      <sheetName val="Metadata"/>
      <sheetName val="Codes"/>
      <sheetName val="Calc"/>
    </sheetNames>
    <sheetDataSet>
      <sheetData sheetId="0"/>
      <sheetData sheetId="1"/>
      <sheetData sheetId="2"/>
      <sheetData sheetId="3"/>
      <sheetData sheetId="4">
        <row r="14">
          <cell r="C14">
            <v>2.2069659989548858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tions"/>
      <sheetName val="Key Statistics"/>
      <sheetName val="Metadata"/>
      <sheetName val="Codes"/>
      <sheetName val="Calc"/>
    </sheetNames>
    <sheetDataSet>
      <sheetData sheetId="0"/>
      <sheetData sheetId="1"/>
      <sheetData sheetId="2"/>
      <sheetData sheetId="3"/>
      <sheetData sheetId="4">
        <row r="14">
          <cell r="C14">
            <v>2.2069659989548858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tions"/>
      <sheetName val="Key Statistics"/>
      <sheetName val="Metadata"/>
      <sheetName val="Codes"/>
      <sheetName val="Calc"/>
    </sheetNames>
    <sheetDataSet>
      <sheetData sheetId="0"/>
      <sheetData sheetId="1"/>
      <sheetData sheetId="2"/>
      <sheetData sheetId="3"/>
      <sheetData sheetId="4">
        <row r="14">
          <cell r="C14">
            <v>2.2069659989548858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tions"/>
      <sheetName val="Key Statistics"/>
      <sheetName val="Metadata"/>
      <sheetName val="Codes"/>
      <sheetName val="Calc"/>
    </sheetNames>
    <sheetDataSet>
      <sheetData sheetId="0"/>
      <sheetData sheetId="1"/>
      <sheetData sheetId="2"/>
      <sheetData sheetId="3"/>
      <sheetData sheetId="4">
        <row r="14">
          <cell r="C14">
            <v>2.2069659989548858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tions"/>
      <sheetName val="Key Statistics"/>
      <sheetName val="Metadata"/>
      <sheetName val="Codes"/>
      <sheetName val="Calc"/>
    </sheetNames>
    <sheetDataSet>
      <sheetData sheetId="0"/>
      <sheetData sheetId="1"/>
      <sheetData sheetId="2"/>
      <sheetData sheetId="3"/>
      <sheetData sheetId="4">
        <row r="14">
          <cell r="C14">
            <v>2.2069659989548858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tions"/>
      <sheetName val="Key Statistics"/>
      <sheetName val="Metadata"/>
      <sheetName val="Codes"/>
      <sheetName val="Calc"/>
    </sheetNames>
    <sheetDataSet>
      <sheetData sheetId="0"/>
      <sheetData sheetId="1"/>
      <sheetData sheetId="2"/>
      <sheetData sheetId="3"/>
      <sheetData sheetId="4">
        <row r="14">
          <cell r="C14">
            <v>2.2069659989548858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85"/>
  <sheetViews>
    <sheetView tabSelected="1" topLeftCell="A2" zoomScale="70" zoomScaleNormal="70" workbookViewId="0">
      <selection activeCell="E5" sqref="E5"/>
    </sheetView>
  </sheetViews>
  <sheetFormatPr defaultColWidth="8.85546875" defaultRowHeight="12.75"/>
  <cols>
    <col min="1" max="1" width="11" customWidth="1"/>
    <col min="2" max="2" width="46.42578125" style="1" bestFit="1" customWidth="1"/>
    <col min="3" max="3" width="8.28515625" style="1" bestFit="1" customWidth="1"/>
    <col min="4" max="4" width="12" style="1" customWidth="1"/>
    <col min="5" max="5" width="12.85546875" style="1" customWidth="1"/>
    <col min="6" max="6" width="12.28515625" style="1" customWidth="1"/>
    <col min="7" max="7" width="13.42578125" style="1" customWidth="1"/>
    <col min="8" max="8" width="12.28515625" style="1" customWidth="1"/>
    <col min="9" max="9" width="14.5703125" style="1" customWidth="1"/>
    <col min="10" max="10" width="12.140625" style="1" customWidth="1"/>
    <col min="11" max="11" width="14.42578125" style="5" customWidth="1"/>
    <col min="12" max="12" width="12.5703125" style="1" customWidth="1"/>
    <col min="13" max="13" width="14.140625" style="1" customWidth="1"/>
    <col min="14" max="14" width="13.28515625" style="1" customWidth="1"/>
    <col min="15" max="16" width="13.7109375" style="1" customWidth="1"/>
    <col min="17" max="17" width="64.42578125" style="1" customWidth="1"/>
    <col min="18" max="18" width="8.28515625" style="1" bestFit="1" customWidth="1"/>
    <col min="19" max="19" width="15" style="1" customWidth="1"/>
    <col min="20" max="20" width="14.42578125" style="1" customWidth="1"/>
    <col min="21" max="21" width="17.85546875" style="6" customWidth="1"/>
    <col min="22" max="22" width="15.140625" bestFit="1" customWidth="1"/>
    <col min="23" max="23" width="27.140625" customWidth="1"/>
    <col min="24" max="24" width="13.5703125" customWidth="1"/>
    <col min="25" max="29" width="8.85546875" customWidth="1"/>
  </cols>
  <sheetData>
    <row r="2" spans="2:29" ht="23.25">
      <c r="D2" s="11"/>
      <c r="E2" s="11"/>
      <c r="F2" s="11"/>
      <c r="G2" s="11"/>
      <c r="H2" s="68" t="s">
        <v>0</v>
      </c>
      <c r="I2" s="68"/>
      <c r="J2" s="68"/>
      <c r="K2" s="68"/>
      <c r="L2" s="68"/>
      <c r="M2" s="68"/>
      <c r="N2" s="11"/>
      <c r="O2" s="11"/>
      <c r="P2" s="11"/>
    </row>
    <row r="3" spans="2:29" ht="12.75" customHeight="1">
      <c r="K3" s="4"/>
    </row>
    <row r="4" spans="2:29" ht="12.75" customHeight="1">
      <c r="H4" s="69" t="s">
        <v>17</v>
      </c>
      <c r="I4" s="69"/>
      <c r="J4" s="69"/>
      <c r="K4" s="69"/>
      <c r="L4" s="69"/>
      <c r="M4" s="69"/>
      <c r="N4" s="12"/>
      <c r="O4" s="12"/>
      <c r="P4" s="12"/>
      <c r="Q4" s="10" t="s">
        <v>15</v>
      </c>
      <c r="R4" s="10"/>
      <c r="U4" s="1"/>
      <c r="V4" s="12"/>
      <c r="W4" s="12"/>
      <c r="X4" s="12"/>
      <c r="Y4" s="12"/>
      <c r="Z4" s="12"/>
      <c r="AA4" s="12"/>
    </row>
    <row r="5" spans="2:29">
      <c r="K5" s="4"/>
      <c r="Q5" s="71" t="s">
        <v>16</v>
      </c>
      <c r="R5" s="71"/>
      <c r="S5" s="71"/>
      <c r="U5" s="1"/>
    </row>
    <row r="6" spans="2:29">
      <c r="H6" s="70" t="s">
        <v>109</v>
      </c>
      <c r="I6" s="70"/>
      <c r="J6" s="70"/>
      <c r="K6" s="70"/>
      <c r="L6" s="70"/>
      <c r="M6" s="70"/>
      <c r="N6" s="2"/>
      <c r="O6" s="2"/>
      <c r="P6" s="2"/>
      <c r="Q6" s="72" t="s">
        <v>18</v>
      </c>
      <c r="R6" s="72"/>
      <c r="S6" s="72"/>
      <c r="U6" s="1"/>
      <c r="V6" s="2"/>
      <c r="W6" s="2"/>
      <c r="X6" s="2"/>
      <c r="Y6" s="2"/>
      <c r="Z6" s="2"/>
      <c r="AA6" s="2"/>
    </row>
    <row r="7" spans="2:29">
      <c r="Q7" s="73" t="s">
        <v>19</v>
      </c>
      <c r="R7" s="73"/>
      <c r="S7" s="73"/>
      <c r="U7" s="1"/>
    </row>
    <row r="8" spans="2:29">
      <c r="B8"/>
      <c r="C8"/>
      <c r="G8" s="2"/>
      <c r="P8" s="2"/>
      <c r="Q8" s="74" t="s">
        <v>99</v>
      </c>
      <c r="R8" s="74"/>
      <c r="S8" s="74"/>
    </row>
    <row r="9" spans="2:29" ht="8.25" customHeight="1">
      <c r="O9" s="2"/>
      <c r="P9" s="2"/>
      <c r="Q9" s="2"/>
      <c r="R9" s="2"/>
      <c r="V9" s="67"/>
      <c r="W9" s="67"/>
      <c r="X9" s="67"/>
      <c r="Y9" s="67"/>
      <c r="Z9" s="67"/>
      <c r="AA9" s="67"/>
      <c r="AB9" s="67"/>
    </row>
    <row r="10" spans="2:29" ht="51">
      <c r="B10" s="17"/>
      <c r="C10" s="45" t="s">
        <v>94</v>
      </c>
      <c r="D10" s="8" t="s">
        <v>1</v>
      </c>
      <c r="E10" s="18" t="s">
        <v>93</v>
      </c>
      <c r="F10" s="8" t="s">
        <v>2</v>
      </c>
      <c r="G10" s="18" t="s">
        <v>93</v>
      </c>
      <c r="H10" s="8" t="s">
        <v>3</v>
      </c>
      <c r="I10" s="18" t="s">
        <v>93</v>
      </c>
      <c r="J10" s="8" t="s">
        <v>4</v>
      </c>
      <c r="K10" s="18" t="s">
        <v>93</v>
      </c>
      <c r="L10" s="19" t="s">
        <v>5</v>
      </c>
      <c r="M10" s="18" t="s">
        <v>93</v>
      </c>
      <c r="N10" s="8" t="s">
        <v>6</v>
      </c>
      <c r="O10" s="18" t="s">
        <v>93</v>
      </c>
      <c r="P10"/>
      <c r="Q10" s="7"/>
      <c r="R10" s="44" t="s">
        <v>94</v>
      </c>
      <c r="S10" s="9" t="s">
        <v>63</v>
      </c>
      <c r="T10" s="34" t="s">
        <v>65</v>
      </c>
      <c r="U10" s="34" t="s">
        <v>66</v>
      </c>
      <c r="V10" s="33" t="s">
        <v>64</v>
      </c>
      <c r="W10" s="13" t="s">
        <v>20</v>
      </c>
      <c r="X10" s="14"/>
      <c r="Y10" s="16"/>
      <c r="Z10" s="15"/>
      <c r="AA10" s="15"/>
      <c r="AB10" s="14"/>
      <c r="AC10" s="15"/>
    </row>
    <row r="11" spans="2:29" ht="15">
      <c r="B11" s="35" t="s">
        <v>67</v>
      </c>
      <c r="C11" s="35"/>
      <c r="D11" s="24"/>
      <c r="E11" s="25"/>
      <c r="F11" s="24"/>
      <c r="G11" s="25"/>
      <c r="H11" s="24"/>
      <c r="I11" s="25"/>
      <c r="J11" s="24"/>
      <c r="K11" s="26"/>
      <c r="L11" s="24"/>
      <c r="M11" s="25"/>
      <c r="N11" s="24"/>
      <c r="O11" s="25"/>
      <c r="P11"/>
      <c r="Q11" s="35" t="s">
        <v>67</v>
      </c>
      <c r="R11" s="35"/>
      <c r="S11" s="20"/>
      <c r="T11" s="21"/>
      <c r="U11" s="22"/>
      <c r="V11" s="37"/>
    </row>
    <row r="12" spans="2:29" ht="15">
      <c r="B12" s="36" t="s">
        <v>68</v>
      </c>
      <c r="C12" s="36" t="s">
        <v>56</v>
      </c>
      <c r="D12" s="55">
        <v>5.3</v>
      </c>
      <c r="E12" s="25">
        <v>0.1</v>
      </c>
      <c r="F12" s="55">
        <v>8.6</v>
      </c>
      <c r="G12" s="39">
        <v>3.1</v>
      </c>
      <c r="H12" s="55">
        <v>9</v>
      </c>
      <c r="I12" s="39">
        <v>1.5</v>
      </c>
      <c r="J12" s="55">
        <v>10.3</v>
      </c>
      <c r="K12" s="25">
        <v>0.5</v>
      </c>
      <c r="L12" s="55">
        <v>14.4</v>
      </c>
      <c r="M12" s="39">
        <v>1.5</v>
      </c>
      <c r="N12" s="55">
        <v>15.4</v>
      </c>
      <c r="O12" s="25">
        <v>-0.5</v>
      </c>
      <c r="P12"/>
      <c r="Q12" s="36" t="s">
        <v>68</v>
      </c>
      <c r="R12" s="36" t="s">
        <v>56</v>
      </c>
      <c r="S12" s="66">
        <v>11.78797814207651</v>
      </c>
      <c r="T12" s="64">
        <v>11.1</v>
      </c>
      <c r="U12" s="22">
        <v>0.5</v>
      </c>
      <c r="V12" s="65">
        <f>S12-T12</f>
        <v>0.68797814207650987</v>
      </c>
      <c r="W12" t="s">
        <v>111</v>
      </c>
    </row>
    <row r="13" spans="2:29" ht="15">
      <c r="B13" s="36" t="s">
        <v>69</v>
      </c>
      <c r="C13" s="36" t="s">
        <v>56</v>
      </c>
      <c r="D13" s="55">
        <v>8</v>
      </c>
      <c r="E13" s="56">
        <v>0</v>
      </c>
      <c r="F13" s="55">
        <v>11.5</v>
      </c>
      <c r="G13" s="57">
        <v>2.9</v>
      </c>
      <c r="H13" s="55">
        <v>12.6</v>
      </c>
      <c r="I13" s="56">
        <v>1.3</v>
      </c>
      <c r="J13" s="55">
        <v>14.1</v>
      </c>
      <c r="K13" s="56">
        <v>-0.3</v>
      </c>
      <c r="L13" s="55">
        <v>18.899999999999999</v>
      </c>
      <c r="M13" s="57">
        <v>1.3</v>
      </c>
      <c r="N13" s="55">
        <v>20.7</v>
      </c>
      <c r="O13" s="56">
        <v>0</v>
      </c>
      <c r="P13"/>
      <c r="Q13" s="36" t="s">
        <v>69</v>
      </c>
      <c r="R13" s="36" t="s">
        <v>56</v>
      </c>
      <c r="S13" s="58">
        <v>15.430054644808747</v>
      </c>
      <c r="T13" s="56">
        <v>15</v>
      </c>
      <c r="U13" s="56">
        <v>0.7</v>
      </c>
      <c r="V13" s="37">
        <f t="shared" ref="V13:V38" si="0">S13-T13</f>
        <v>0.430054644808747</v>
      </c>
    </row>
    <row r="14" spans="2:29" ht="15">
      <c r="B14" s="36" t="s">
        <v>70</v>
      </c>
      <c r="C14" s="36" t="s">
        <v>56</v>
      </c>
      <c r="D14" s="55">
        <v>2.6</v>
      </c>
      <c r="E14" s="25">
        <v>0.2</v>
      </c>
      <c r="F14" s="55">
        <v>5.7</v>
      </c>
      <c r="G14" s="41">
        <v>3.4</v>
      </c>
      <c r="H14" s="55">
        <v>5.4</v>
      </c>
      <c r="I14" s="39">
        <v>1.7</v>
      </c>
      <c r="J14" s="55">
        <v>6.5</v>
      </c>
      <c r="K14" s="38">
        <v>1.2</v>
      </c>
      <c r="L14" s="55">
        <v>9.8000000000000007</v>
      </c>
      <c r="M14" s="38">
        <v>1.6</v>
      </c>
      <c r="N14" s="55">
        <v>10.199999999999999</v>
      </c>
      <c r="O14" s="39">
        <v>-0.9</v>
      </c>
      <c r="P14"/>
      <c r="Q14" s="36" t="s">
        <v>70</v>
      </c>
      <c r="R14" s="36" t="s">
        <v>56</v>
      </c>
      <c r="S14" s="58">
        <v>8.0125683060109267</v>
      </c>
      <c r="T14" s="64">
        <v>7.1</v>
      </c>
      <c r="U14" s="22">
        <v>0.5</v>
      </c>
      <c r="V14" s="23">
        <f t="shared" si="0"/>
        <v>0.91256830601092709</v>
      </c>
    </row>
    <row r="15" spans="2:29" ht="15">
      <c r="B15" s="36" t="s">
        <v>71</v>
      </c>
      <c r="C15" s="36" t="s">
        <v>56</v>
      </c>
      <c r="D15" s="55">
        <v>13.4</v>
      </c>
      <c r="E15" s="25">
        <v>0.3</v>
      </c>
      <c r="F15" s="55">
        <v>16.8</v>
      </c>
      <c r="G15" s="39">
        <v>3.3</v>
      </c>
      <c r="H15" s="55">
        <v>16.600000000000001</v>
      </c>
      <c r="I15" s="25">
        <v>-0.2</v>
      </c>
      <c r="J15" s="55">
        <v>20.100000000000001</v>
      </c>
      <c r="K15" s="25">
        <v>-0.9</v>
      </c>
      <c r="L15" s="55">
        <v>26</v>
      </c>
      <c r="M15" s="25">
        <v>1</v>
      </c>
      <c r="N15" s="55">
        <v>28.9</v>
      </c>
      <c r="O15" s="25">
        <v>0.6</v>
      </c>
      <c r="P15"/>
      <c r="Q15" s="36" t="s">
        <v>71</v>
      </c>
      <c r="R15" s="36" t="s">
        <v>56</v>
      </c>
      <c r="S15" s="58">
        <v>30.4</v>
      </c>
      <c r="T15" s="64">
        <v>31</v>
      </c>
      <c r="U15" s="22">
        <v>2.4</v>
      </c>
      <c r="V15" s="37">
        <f t="shared" si="0"/>
        <v>-0.60000000000000142</v>
      </c>
    </row>
    <row r="16" spans="2:29" ht="15">
      <c r="B16" s="36" t="s">
        <v>72</v>
      </c>
      <c r="C16" s="36" t="s">
        <v>56</v>
      </c>
      <c r="D16" s="55">
        <v>1.7</v>
      </c>
      <c r="E16" s="25">
        <v>-0.6</v>
      </c>
      <c r="F16" s="55">
        <v>6.1</v>
      </c>
      <c r="G16" s="25">
        <v>3.2</v>
      </c>
      <c r="H16" s="55">
        <v>7.1</v>
      </c>
      <c r="I16" s="25">
        <v>1.1000000000000001</v>
      </c>
      <c r="J16" s="55">
        <v>9</v>
      </c>
      <c r="K16" s="25">
        <v>0.4</v>
      </c>
      <c r="L16" s="55">
        <v>12</v>
      </c>
      <c r="M16" s="25">
        <v>0.4</v>
      </c>
      <c r="N16" s="55">
        <v>15.4</v>
      </c>
      <c r="O16" s="25">
        <v>0.5</v>
      </c>
      <c r="P16"/>
      <c r="Q16" s="36" t="s">
        <v>72</v>
      </c>
      <c r="R16" s="36" t="s">
        <v>56</v>
      </c>
      <c r="S16" s="58">
        <v>1.7</v>
      </c>
      <c r="T16" s="64">
        <v>0.3</v>
      </c>
      <c r="U16" s="22"/>
      <c r="V16" s="37">
        <f t="shared" si="0"/>
        <v>1.4</v>
      </c>
    </row>
    <row r="17" spans="2:23" ht="15">
      <c r="B17" s="36" t="s">
        <v>73</v>
      </c>
      <c r="C17" s="36" t="s">
        <v>56</v>
      </c>
      <c r="D17" s="55">
        <v>8.6</v>
      </c>
      <c r="E17" s="25">
        <v>0</v>
      </c>
      <c r="F17" s="55">
        <v>11.9</v>
      </c>
      <c r="G17" s="25">
        <v>3.4</v>
      </c>
      <c r="H17" s="55">
        <v>10.8</v>
      </c>
      <c r="I17" s="25">
        <v>1.5</v>
      </c>
      <c r="J17" s="58">
        <v>12.4</v>
      </c>
      <c r="K17" s="25">
        <v>1.7</v>
      </c>
      <c r="L17" s="55">
        <v>13.3</v>
      </c>
      <c r="M17" s="25">
        <v>-0.3</v>
      </c>
      <c r="N17" s="55">
        <v>14.9</v>
      </c>
      <c r="O17" s="25">
        <v>-1.4</v>
      </c>
      <c r="P17"/>
      <c r="Q17" s="36" t="s">
        <v>73</v>
      </c>
      <c r="R17" s="36" t="s">
        <v>56</v>
      </c>
      <c r="S17" s="58">
        <v>18.2</v>
      </c>
      <c r="T17" s="64">
        <v>18.399999999999999</v>
      </c>
      <c r="U17" s="22"/>
      <c r="V17" s="37">
        <f t="shared" si="0"/>
        <v>-0.19999999999999929</v>
      </c>
    </row>
    <row r="18" spans="2:23" ht="15">
      <c r="B18" s="36" t="s">
        <v>74</v>
      </c>
      <c r="C18" s="36" t="s">
        <v>56</v>
      </c>
      <c r="D18" s="55">
        <v>-5.2</v>
      </c>
      <c r="E18" s="25">
        <v>-1.3</v>
      </c>
      <c r="F18" s="55">
        <v>-1.2</v>
      </c>
      <c r="G18" s="39">
        <v>2.1</v>
      </c>
      <c r="H18" s="55">
        <v>-4</v>
      </c>
      <c r="I18" s="39">
        <v>-1.8</v>
      </c>
      <c r="J18" s="58">
        <v>1.2</v>
      </c>
      <c r="K18" s="39">
        <v>1.6</v>
      </c>
      <c r="L18" s="55">
        <v>5.4</v>
      </c>
      <c r="M18" s="41">
        <v>3.3</v>
      </c>
      <c r="N18" s="55">
        <v>6.5</v>
      </c>
      <c r="O18" s="25">
        <v>0.1</v>
      </c>
      <c r="P18"/>
      <c r="Q18" s="36" t="s">
        <v>74</v>
      </c>
      <c r="R18" s="36" t="s">
        <v>56</v>
      </c>
      <c r="S18" s="58">
        <v>-5.2</v>
      </c>
      <c r="T18" s="64">
        <v>-5.7</v>
      </c>
      <c r="U18" s="22">
        <v>1.9</v>
      </c>
      <c r="V18" s="37">
        <f t="shared" si="0"/>
        <v>0.5</v>
      </c>
    </row>
    <row r="19" spans="2:23" ht="15">
      <c r="B19" s="36" t="s">
        <v>75</v>
      </c>
      <c r="C19" s="36" t="s">
        <v>95</v>
      </c>
      <c r="D19" s="55">
        <v>6</v>
      </c>
      <c r="E19" s="26">
        <v>-2.4</v>
      </c>
      <c r="F19" s="55">
        <v>2</v>
      </c>
      <c r="G19" s="26">
        <v>-5.6</v>
      </c>
      <c r="H19" s="55">
        <v>2</v>
      </c>
      <c r="I19" s="26">
        <v>-1.7</v>
      </c>
      <c r="J19" s="14">
        <v>0</v>
      </c>
      <c r="K19" s="26">
        <v>-1.5</v>
      </c>
      <c r="L19" s="55">
        <v>0</v>
      </c>
      <c r="M19" s="25">
        <v>-0.1</v>
      </c>
      <c r="N19" s="55">
        <v>0</v>
      </c>
      <c r="O19" s="26">
        <v>0</v>
      </c>
      <c r="P19"/>
      <c r="Q19" s="36" t="s">
        <v>75</v>
      </c>
      <c r="R19" s="36" t="s">
        <v>95</v>
      </c>
      <c r="S19" s="58">
        <v>15</v>
      </c>
      <c r="T19" s="64">
        <v>33.799999999999997</v>
      </c>
      <c r="U19" s="22"/>
      <c r="V19" s="37">
        <f t="shared" si="0"/>
        <v>-18.799999999999997</v>
      </c>
    </row>
    <row r="20" spans="2:23" ht="15">
      <c r="B20" s="36" t="s">
        <v>76</v>
      </c>
      <c r="C20" s="36" t="s">
        <v>56</v>
      </c>
      <c r="D20" s="55">
        <v>-0.2</v>
      </c>
      <c r="E20" s="26">
        <v>0.4</v>
      </c>
      <c r="F20" s="55">
        <v>3.9</v>
      </c>
      <c r="G20" s="40">
        <v>4.5</v>
      </c>
      <c r="H20" s="55">
        <v>3.1</v>
      </c>
      <c r="I20" s="40">
        <v>2.5</v>
      </c>
      <c r="J20" s="55">
        <v>4.9000000000000004</v>
      </c>
      <c r="K20" s="40">
        <v>2.9</v>
      </c>
      <c r="L20" s="55">
        <v>8</v>
      </c>
      <c r="M20" s="40">
        <v>2.8</v>
      </c>
      <c r="N20" s="55">
        <v>8.3000000000000007</v>
      </c>
      <c r="O20" s="26">
        <v>-0.4</v>
      </c>
      <c r="P20"/>
      <c r="Q20" s="36" t="s">
        <v>76</v>
      </c>
      <c r="R20" s="36" t="s">
        <v>56</v>
      </c>
      <c r="S20" s="58">
        <v>5.9428961748633906</v>
      </c>
      <c r="T20" s="64">
        <v>4</v>
      </c>
      <c r="U20" s="22">
        <v>0.8</v>
      </c>
      <c r="V20" s="53">
        <f t="shared" si="0"/>
        <v>1.9428961748633906</v>
      </c>
    </row>
    <row r="21" spans="2:23" ht="15">
      <c r="B21" s="36" t="s">
        <v>77</v>
      </c>
      <c r="C21" s="36" t="s">
        <v>56</v>
      </c>
      <c r="D21" s="55">
        <v>-7.8</v>
      </c>
      <c r="E21" s="25">
        <v>0</v>
      </c>
      <c r="F21" s="55">
        <v>-3.8</v>
      </c>
      <c r="G21" s="39">
        <v>3.9</v>
      </c>
      <c r="H21" s="55">
        <v>-4</v>
      </c>
      <c r="I21" s="39">
        <v>2.6</v>
      </c>
      <c r="J21" s="55">
        <v>-2</v>
      </c>
      <c r="K21" s="38">
        <v>2.7</v>
      </c>
      <c r="L21" s="55">
        <v>2.9</v>
      </c>
      <c r="M21" s="41">
        <v>5</v>
      </c>
      <c r="N21" s="55">
        <v>3</v>
      </c>
      <c r="O21" s="25">
        <v>0.7</v>
      </c>
      <c r="P21"/>
      <c r="Q21" s="36" t="s">
        <v>77</v>
      </c>
      <c r="R21" s="36" t="s">
        <v>56</v>
      </c>
      <c r="S21" s="58">
        <v>-7.8</v>
      </c>
      <c r="T21" s="64">
        <v>-9.8000000000000007</v>
      </c>
      <c r="U21" s="22">
        <v>1.9</v>
      </c>
      <c r="V21" s="23">
        <f t="shared" si="0"/>
        <v>2.0000000000000009</v>
      </c>
    </row>
    <row r="22" spans="2:23" ht="15">
      <c r="B22" s="36" t="s">
        <v>78</v>
      </c>
      <c r="C22" s="36" t="s">
        <v>95</v>
      </c>
      <c r="D22" s="55">
        <v>13</v>
      </c>
      <c r="E22" s="56">
        <v>-4.0999999999999996</v>
      </c>
      <c r="F22" s="55">
        <v>4</v>
      </c>
      <c r="G22" s="56">
        <v>-11.4</v>
      </c>
      <c r="H22" s="55">
        <v>6</v>
      </c>
      <c r="I22" s="56">
        <v>-8.4</v>
      </c>
      <c r="J22" s="55">
        <v>3</v>
      </c>
      <c r="K22" s="56">
        <v>-5.7</v>
      </c>
      <c r="L22" s="55">
        <v>0</v>
      </c>
      <c r="M22" s="56">
        <v>-2.8</v>
      </c>
      <c r="N22" s="55">
        <v>0</v>
      </c>
      <c r="O22" s="56">
        <v>-0.1</v>
      </c>
      <c r="P22"/>
      <c r="Q22" s="36" t="s">
        <v>78</v>
      </c>
      <c r="R22" s="36" t="s">
        <v>95</v>
      </c>
      <c r="S22" s="58">
        <v>45</v>
      </c>
      <c r="T22" s="56">
        <v>90.7</v>
      </c>
      <c r="U22" s="56"/>
      <c r="V22" s="37">
        <f t="shared" si="0"/>
        <v>-45.7</v>
      </c>
    </row>
    <row r="23" spans="2:23" ht="15">
      <c r="B23" s="36" t="s">
        <v>79</v>
      </c>
      <c r="C23" s="36" t="s">
        <v>56</v>
      </c>
      <c r="D23" s="55">
        <v>0.2</v>
      </c>
      <c r="E23" s="56">
        <v>-0.4</v>
      </c>
      <c r="F23" s="55">
        <v>4.4000000000000004</v>
      </c>
      <c r="G23" s="59">
        <v>3.7</v>
      </c>
      <c r="H23" s="55">
        <v>4.3</v>
      </c>
      <c r="I23" s="57">
        <v>2.2000000000000002</v>
      </c>
      <c r="J23" s="55">
        <v>5.9</v>
      </c>
      <c r="K23" s="57">
        <v>1.6</v>
      </c>
      <c r="L23" s="55">
        <v>10.1</v>
      </c>
      <c r="M23" s="59">
        <v>2.5</v>
      </c>
      <c r="N23" s="55">
        <v>10.5</v>
      </c>
      <c r="O23" s="56">
        <v>-0.5</v>
      </c>
      <c r="P23"/>
      <c r="Q23" s="36" t="s">
        <v>79</v>
      </c>
      <c r="R23" s="36" t="s">
        <v>56</v>
      </c>
      <c r="S23" s="58">
        <v>7.2991803278688598</v>
      </c>
      <c r="T23" s="56">
        <v>5.9</v>
      </c>
      <c r="U23" s="56">
        <v>0.8</v>
      </c>
      <c r="V23" s="23">
        <f t="shared" si="0"/>
        <v>1.3991803278688595</v>
      </c>
    </row>
    <row r="24" spans="2:23" ht="15">
      <c r="B24" s="36" t="s">
        <v>80</v>
      </c>
      <c r="C24" s="36" t="s">
        <v>56</v>
      </c>
      <c r="D24" s="55">
        <v>-7.8</v>
      </c>
      <c r="E24" s="25">
        <v>-2</v>
      </c>
      <c r="F24" s="55">
        <v>-2.2000000000000002</v>
      </c>
      <c r="G24" s="38">
        <v>3</v>
      </c>
      <c r="H24" s="55">
        <v>-2</v>
      </c>
      <c r="I24" s="39">
        <v>2.2000000000000002</v>
      </c>
      <c r="J24" s="55">
        <v>1</v>
      </c>
      <c r="K24" s="39">
        <v>2.9</v>
      </c>
      <c r="L24" s="55">
        <v>4.9000000000000004</v>
      </c>
      <c r="M24" s="41">
        <v>3.5</v>
      </c>
      <c r="N24" s="55">
        <v>3.6</v>
      </c>
      <c r="O24" s="25">
        <v>-2</v>
      </c>
      <c r="P24"/>
      <c r="Q24" s="36" t="s">
        <v>80</v>
      </c>
      <c r="R24" s="36" t="s">
        <v>56</v>
      </c>
      <c r="S24" s="58">
        <v>-7.8</v>
      </c>
      <c r="T24" s="64">
        <v>-7.1</v>
      </c>
      <c r="U24" s="22">
        <v>1.7</v>
      </c>
      <c r="V24" s="37">
        <f t="shared" si="0"/>
        <v>-0.70000000000000018</v>
      </c>
    </row>
    <row r="25" spans="2:23" ht="15">
      <c r="B25" s="36" t="s">
        <v>81</v>
      </c>
      <c r="C25" s="36" t="s">
        <v>56</v>
      </c>
      <c r="D25" s="55">
        <v>5</v>
      </c>
      <c r="E25" s="25">
        <v>0.1</v>
      </c>
      <c r="F25" s="55">
        <v>7.9</v>
      </c>
      <c r="G25" s="41">
        <v>2.8</v>
      </c>
      <c r="H25" s="55">
        <v>8.9</v>
      </c>
      <c r="I25" s="41">
        <v>2.1</v>
      </c>
      <c r="J25" s="55">
        <v>11.5</v>
      </c>
      <c r="K25" s="38">
        <v>1.2</v>
      </c>
      <c r="L25" s="55">
        <v>15.8</v>
      </c>
      <c r="M25" s="41">
        <v>1.7</v>
      </c>
      <c r="N25" s="55">
        <v>17.7</v>
      </c>
      <c r="O25" s="25">
        <v>0.3</v>
      </c>
      <c r="P25"/>
      <c r="Q25" s="36" t="s">
        <v>81</v>
      </c>
      <c r="R25" s="36" t="s">
        <v>56</v>
      </c>
      <c r="S25" s="58">
        <v>12.7</v>
      </c>
      <c r="T25" s="64">
        <v>11.6</v>
      </c>
      <c r="U25" s="22">
        <v>0.4</v>
      </c>
      <c r="V25" s="53">
        <f t="shared" si="0"/>
        <v>1.0999999999999996</v>
      </c>
    </row>
    <row r="26" spans="2:23" ht="15">
      <c r="B26" s="36" t="s">
        <v>82</v>
      </c>
      <c r="C26" s="36" t="s">
        <v>56</v>
      </c>
      <c r="D26" s="55">
        <v>7.4</v>
      </c>
      <c r="E26" s="56"/>
      <c r="F26" s="55">
        <v>8.1</v>
      </c>
      <c r="G26" s="56"/>
      <c r="H26" s="55">
        <v>8.9</v>
      </c>
      <c r="I26" s="56"/>
      <c r="J26" s="55">
        <v>11</v>
      </c>
      <c r="K26" s="56"/>
      <c r="L26" s="55">
        <v>13.6</v>
      </c>
      <c r="M26" s="56"/>
      <c r="N26" s="55">
        <v>15.9</v>
      </c>
      <c r="O26" s="56"/>
      <c r="P26"/>
      <c r="Q26" s="36" t="s">
        <v>82</v>
      </c>
      <c r="R26" s="36" t="s">
        <v>56</v>
      </c>
      <c r="S26" s="58">
        <v>12.8</v>
      </c>
      <c r="T26" s="56"/>
      <c r="U26" s="56"/>
      <c r="V26" s="37"/>
    </row>
    <row r="27" spans="2:23" ht="15">
      <c r="B27" s="35" t="s">
        <v>83</v>
      </c>
      <c r="C27" s="35"/>
      <c r="D27" s="55"/>
      <c r="E27" s="25"/>
      <c r="F27" s="55"/>
      <c r="G27" s="26"/>
      <c r="H27" s="55"/>
      <c r="I27" s="25"/>
      <c r="J27" s="55"/>
      <c r="K27" s="25"/>
      <c r="L27" s="55"/>
      <c r="M27" s="25"/>
      <c r="N27" s="55"/>
      <c r="O27" s="25"/>
      <c r="P27"/>
      <c r="Q27" s="35" t="s">
        <v>83</v>
      </c>
      <c r="R27" s="35"/>
      <c r="S27" s="58"/>
      <c r="T27" s="64"/>
      <c r="U27" s="22"/>
      <c r="V27" s="37"/>
    </row>
    <row r="28" spans="2:23" ht="15">
      <c r="B28" s="36" t="s">
        <v>84</v>
      </c>
      <c r="C28" s="36" t="s">
        <v>58</v>
      </c>
      <c r="D28" s="55">
        <v>81.5</v>
      </c>
      <c r="E28" s="25">
        <v>136</v>
      </c>
      <c r="F28" s="55">
        <v>124.1</v>
      </c>
      <c r="G28" s="42">
        <v>262</v>
      </c>
      <c r="H28" s="55">
        <v>82.8</v>
      </c>
      <c r="I28" s="39">
        <v>192</v>
      </c>
      <c r="J28" s="55">
        <v>57.2</v>
      </c>
      <c r="K28" s="25">
        <v>117</v>
      </c>
      <c r="L28" s="55">
        <v>66.599999999999994</v>
      </c>
      <c r="M28" s="25">
        <v>117</v>
      </c>
      <c r="N28" s="55">
        <v>14.2</v>
      </c>
      <c r="O28" s="39">
        <v>28</v>
      </c>
      <c r="P28"/>
      <c r="Q28" s="36" t="s">
        <v>84</v>
      </c>
      <c r="R28" s="36" t="s">
        <v>58</v>
      </c>
      <c r="S28" s="58">
        <v>916.14999999999986</v>
      </c>
      <c r="T28" s="64">
        <v>683.9</v>
      </c>
      <c r="U28" s="22">
        <v>121</v>
      </c>
      <c r="V28" s="23">
        <f t="shared" si="0"/>
        <v>232.24999999999989</v>
      </c>
      <c r="W28" t="s">
        <v>110</v>
      </c>
    </row>
    <row r="29" spans="2:23" ht="15">
      <c r="B29" s="36" t="s">
        <v>85</v>
      </c>
      <c r="C29" s="36" t="s">
        <v>58</v>
      </c>
      <c r="D29" s="55">
        <v>30.7</v>
      </c>
      <c r="E29" s="56">
        <v>252</v>
      </c>
      <c r="F29" s="55">
        <v>28.8</v>
      </c>
      <c r="G29" s="56">
        <v>242</v>
      </c>
      <c r="H29" s="55">
        <v>11.5</v>
      </c>
      <c r="I29" s="56">
        <v>97</v>
      </c>
      <c r="J29" s="55">
        <v>23.5</v>
      </c>
      <c r="K29" s="56">
        <v>185</v>
      </c>
      <c r="L29" s="55">
        <v>18.8</v>
      </c>
      <c r="M29" s="56">
        <v>118</v>
      </c>
      <c r="N29" s="55">
        <v>6.2</v>
      </c>
      <c r="O29" s="56">
        <v>42</v>
      </c>
      <c r="P29"/>
      <c r="Q29" s="36" t="s">
        <v>85</v>
      </c>
      <c r="R29" s="36" t="s">
        <v>58</v>
      </c>
      <c r="S29" s="58">
        <v>77.099999999999994</v>
      </c>
      <c r="T29" s="56">
        <v>33.6</v>
      </c>
      <c r="U29" s="56"/>
      <c r="V29" s="37">
        <f t="shared" si="0"/>
        <v>43.499999999999993</v>
      </c>
      <c r="W29" t="s">
        <v>112</v>
      </c>
    </row>
    <row r="30" spans="2:23" ht="15">
      <c r="B30" s="36" t="s">
        <v>13</v>
      </c>
      <c r="C30" s="36" t="s">
        <v>95</v>
      </c>
      <c r="D30" s="55">
        <v>12</v>
      </c>
      <c r="E30" s="25">
        <v>-4.7</v>
      </c>
      <c r="F30" s="55">
        <v>16</v>
      </c>
      <c r="G30" s="25">
        <v>2.2000000000000002</v>
      </c>
      <c r="H30" s="55">
        <v>20</v>
      </c>
      <c r="I30" s="25">
        <v>6.2</v>
      </c>
      <c r="J30" s="55">
        <v>16</v>
      </c>
      <c r="K30" s="25">
        <v>3.6</v>
      </c>
      <c r="L30" s="55">
        <v>13</v>
      </c>
      <c r="M30" s="25">
        <v>-0.1</v>
      </c>
      <c r="N30" s="55">
        <v>6</v>
      </c>
      <c r="O30" s="25">
        <v>-5.8</v>
      </c>
      <c r="P30"/>
      <c r="Q30" s="36" t="s">
        <v>13</v>
      </c>
      <c r="R30" s="36" t="s">
        <v>95</v>
      </c>
      <c r="S30" s="58">
        <v>162</v>
      </c>
      <c r="T30" s="64">
        <v>166.9</v>
      </c>
      <c r="U30" s="22"/>
      <c r="V30" s="37">
        <f t="shared" si="0"/>
        <v>-4.9000000000000057</v>
      </c>
    </row>
    <row r="31" spans="2:23" ht="15">
      <c r="B31" s="36" t="s">
        <v>14</v>
      </c>
      <c r="C31" s="36" t="s">
        <v>95</v>
      </c>
      <c r="D31" s="55">
        <v>9</v>
      </c>
      <c r="E31" s="26">
        <v>-2.9</v>
      </c>
      <c r="F31" s="55">
        <v>11</v>
      </c>
      <c r="G31" s="25">
        <v>1.5</v>
      </c>
      <c r="H31" s="55">
        <v>14</v>
      </c>
      <c r="I31" s="25">
        <v>4.9000000000000004</v>
      </c>
      <c r="J31" s="55">
        <v>11</v>
      </c>
      <c r="K31" s="25">
        <v>2.1</v>
      </c>
      <c r="L31" s="55">
        <v>11</v>
      </c>
      <c r="M31" s="25">
        <v>1.3</v>
      </c>
      <c r="N31" s="55">
        <v>5</v>
      </c>
      <c r="O31" s="25">
        <v>-3.2</v>
      </c>
      <c r="P31"/>
      <c r="Q31" s="36" t="s">
        <v>14</v>
      </c>
      <c r="R31" s="36" t="s">
        <v>95</v>
      </c>
      <c r="S31" s="58">
        <v>114</v>
      </c>
      <c r="T31" s="64">
        <v>117.9</v>
      </c>
      <c r="U31" s="22"/>
      <c r="V31" s="37">
        <f t="shared" si="0"/>
        <v>-3.9000000000000057</v>
      </c>
    </row>
    <row r="32" spans="2:23" ht="15">
      <c r="B32" s="35" t="s">
        <v>86</v>
      </c>
      <c r="C32" s="35"/>
      <c r="D32" s="55"/>
      <c r="E32" s="27"/>
      <c r="F32" s="55"/>
      <c r="G32" s="25"/>
      <c r="H32" s="55"/>
      <c r="I32" s="27"/>
      <c r="J32" s="55"/>
      <c r="K32" s="27"/>
      <c r="L32" s="55"/>
      <c r="M32" s="25"/>
      <c r="N32" s="55"/>
      <c r="O32" s="25"/>
      <c r="P32"/>
      <c r="Q32" s="35" t="s">
        <v>86</v>
      </c>
      <c r="R32" s="35"/>
      <c r="S32" s="58"/>
      <c r="T32" s="64"/>
      <c r="U32" s="22"/>
      <c r="V32" s="37"/>
    </row>
    <row r="33" spans="2:22" ht="15">
      <c r="B33" s="36" t="s">
        <v>87</v>
      </c>
      <c r="C33" s="43" t="s">
        <v>96</v>
      </c>
      <c r="D33" s="60">
        <v>78.5</v>
      </c>
      <c r="E33" s="39">
        <v>123</v>
      </c>
      <c r="F33" s="61">
        <v>62.8</v>
      </c>
      <c r="G33" s="25">
        <v>77</v>
      </c>
      <c r="H33" s="61">
        <v>104.8</v>
      </c>
      <c r="I33" s="25">
        <v>89</v>
      </c>
      <c r="J33" s="61">
        <v>156.19999999999999</v>
      </c>
      <c r="K33" s="25">
        <v>94</v>
      </c>
      <c r="L33" s="62">
        <v>190.2</v>
      </c>
      <c r="M33" s="25">
        <v>95</v>
      </c>
      <c r="N33" s="55">
        <v>250.1</v>
      </c>
      <c r="O33" s="39">
        <v>127</v>
      </c>
      <c r="P33"/>
      <c r="Q33" s="36" t="s">
        <v>87</v>
      </c>
      <c r="R33" s="43" t="s">
        <v>96</v>
      </c>
      <c r="S33" s="58">
        <v>1520.8000000000006</v>
      </c>
      <c r="T33" s="64">
        <v>1614.2</v>
      </c>
      <c r="U33" s="22">
        <v>113.5</v>
      </c>
      <c r="V33" s="37">
        <f t="shared" si="0"/>
        <v>-93.399999999999409</v>
      </c>
    </row>
    <row r="34" spans="2:22" ht="15">
      <c r="B34" s="36" t="s">
        <v>88</v>
      </c>
      <c r="C34" s="36" t="s">
        <v>96</v>
      </c>
      <c r="D34" s="58">
        <v>2.5299999999999998</v>
      </c>
      <c r="E34" s="63">
        <v>0.48</v>
      </c>
      <c r="F34" s="58">
        <v>2.17</v>
      </c>
      <c r="G34" s="54">
        <v>-0.7</v>
      </c>
      <c r="H34" s="58">
        <v>3.38</v>
      </c>
      <c r="I34" s="58">
        <v>-0.43</v>
      </c>
      <c r="J34" s="58">
        <v>5.21</v>
      </c>
      <c r="K34" s="64">
        <v>-0.33</v>
      </c>
      <c r="L34" s="58">
        <v>6.14</v>
      </c>
      <c r="M34" s="58">
        <v>-0.33</v>
      </c>
      <c r="N34" s="58">
        <v>8.34</v>
      </c>
      <c r="O34" s="58">
        <v>1.77</v>
      </c>
      <c r="P34"/>
      <c r="Q34" s="36" t="s">
        <v>88</v>
      </c>
      <c r="R34" s="36" t="s">
        <v>96</v>
      </c>
      <c r="S34" s="58">
        <v>4.1551912568306024</v>
      </c>
      <c r="T34" s="58">
        <v>4.42</v>
      </c>
      <c r="U34" s="58"/>
      <c r="V34" s="37">
        <f t="shared" si="0"/>
        <v>-0.26480874316939751</v>
      </c>
    </row>
    <row r="35" spans="2:22" ht="15">
      <c r="B35" s="36" t="s">
        <v>89</v>
      </c>
      <c r="C35" s="36" t="s">
        <v>96</v>
      </c>
      <c r="D35" s="58">
        <v>9.1999999999999993</v>
      </c>
      <c r="E35" s="58"/>
      <c r="F35" s="58">
        <v>8.4</v>
      </c>
      <c r="G35" s="58"/>
      <c r="H35" s="58">
        <v>9.4</v>
      </c>
      <c r="I35" s="58"/>
      <c r="J35" s="58">
        <v>11.4</v>
      </c>
      <c r="K35" s="58"/>
      <c r="L35" s="58">
        <v>13.8</v>
      </c>
      <c r="M35" s="58"/>
      <c r="N35" s="58">
        <v>15</v>
      </c>
      <c r="O35" s="58"/>
      <c r="P35"/>
      <c r="Q35" s="36" t="s">
        <v>89</v>
      </c>
      <c r="R35" s="36" t="s">
        <v>96</v>
      </c>
      <c r="S35" s="58">
        <v>15</v>
      </c>
      <c r="T35" s="58"/>
      <c r="U35" s="58"/>
      <c r="V35" s="37"/>
    </row>
    <row r="36" spans="2:22" ht="15">
      <c r="B36" s="36" t="s">
        <v>90</v>
      </c>
      <c r="C36" s="36" t="s">
        <v>97</v>
      </c>
      <c r="D36" s="58">
        <v>6.6</v>
      </c>
      <c r="E36" s="58"/>
      <c r="F36" s="58">
        <v>7.7</v>
      </c>
      <c r="G36" s="58"/>
      <c r="H36" s="58">
        <v>6.1</v>
      </c>
      <c r="I36" s="58"/>
      <c r="J36" s="58">
        <v>8.4</v>
      </c>
      <c r="K36" s="64"/>
      <c r="L36" s="58">
        <v>5.2</v>
      </c>
      <c r="M36" s="58"/>
      <c r="N36" s="58">
        <v>6</v>
      </c>
      <c r="O36" s="58"/>
      <c r="P36"/>
      <c r="Q36" s="36" t="s">
        <v>90</v>
      </c>
      <c r="R36" s="36" t="s">
        <v>97</v>
      </c>
      <c r="S36" s="58">
        <v>5.9404371584699449</v>
      </c>
      <c r="T36" s="58"/>
      <c r="U36" s="58"/>
      <c r="V36" s="37"/>
    </row>
    <row r="37" spans="2:22" ht="15">
      <c r="B37" s="36" t="s">
        <v>91</v>
      </c>
      <c r="C37" s="36" t="s">
        <v>95</v>
      </c>
      <c r="D37" s="58">
        <v>0</v>
      </c>
      <c r="E37" s="58">
        <v>-2.2999999999999998</v>
      </c>
      <c r="F37" s="58">
        <v>0</v>
      </c>
      <c r="G37" s="58">
        <v>-2.4</v>
      </c>
      <c r="H37" s="58">
        <v>2</v>
      </c>
      <c r="I37" s="58">
        <v>0.4</v>
      </c>
      <c r="J37" s="58">
        <v>0</v>
      </c>
      <c r="K37" s="64">
        <v>-0.55000000000000004</v>
      </c>
      <c r="L37" s="58">
        <v>0</v>
      </c>
      <c r="M37" s="58">
        <v>-0.1</v>
      </c>
      <c r="N37" s="58">
        <v>0</v>
      </c>
      <c r="O37" s="58">
        <v>-0.1</v>
      </c>
      <c r="P37"/>
      <c r="Q37" s="36" t="s">
        <v>91</v>
      </c>
      <c r="R37" s="36" t="s">
        <v>95</v>
      </c>
      <c r="S37" s="58">
        <v>8</v>
      </c>
      <c r="T37" s="58">
        <v>15.4</v>
      </c>
      <c r="U37" s="58"/>
      <c r="V37" s="37">
        <f t="shared" si="0"/>
        <v>-7.4</v>
      </c>
    </row>
    <row r="38" spans="2:22" ht="15">
      <c r="B38" s="36" t="s">
        <v>92</v>
      </c>
      <c r="C38" s="36" t="s">
        <v>95</v>
      </c>
      <c r="D38" s="58">
        <v>0</v>
      </c>
      <c r="E38" s="58">
        <v>-1.4</v>
      </c>
      <c r="F38" s="58">
        <v>0</v>
      </c>
      <c r="G38" s="58">
        <v>-1.7</v>
      </c>
      <c r="H38" s="58">
        <v>0</v>
      </c>
      <c r="I38" s="58">
        <v>-0.5</v>
      </c>
      <c r="J38" s="58">
        <v>0</v>
      </c>
      <c r="K38" s="64">
        <v>0</v>
      </c>
      <c r="L38" s="58">
        <v>0</v>
      </c>
      <c r="M38" s="58">
        <v>0</v>
      </c>
      <c r="N38" s="58">
        <v>0</v>
      </c>
      <c r="O38" s="58">
        <v>0</v>
      </c>
      <c r="P38"/>
      <c r="Q38" s="36" t="s">
        <v>92</v>
      </c>
      <c r="R38" s="36" t="s">
        <v>95</v>
      </c>
      <c r="S38" s="58">
        <v>1</v>
      </c>
      <c r="T38" s="58">
        <v>5.0999999999999996</v>
      </c>
      <c r="U38" s="58"/>
      <c r="V38" s="37">
        <f t="shared" si="0"/>
        <v>-4.0999999999999996</v>
      </c>
    </row>
    <row r="39" spans="2:22">
      <c r="P39"/>
    </row>
    <row r="40" spans="2:22">
      <c r="P40"/>
    </row>
    <row r="41" spans="2:22" ht="51">
      <c r="B41" s="17"/>
      <c r="C41" s="45" t="s">
        <v>94</v>
      </c>
      <c r="D41" s="8" t="s">
        <v>7</v>
      </c>
      <c r="E41" s="18" t="s">
        <v>93</v>
      </c>
      <c r="F41" s="8" t="s">
        <v>8</v>
      </c>
      <c r="G41" s="18" t="s">
        <v>93</v>
      </c>
      <c r="H41" s="8" t="s">
        <v>9</v>
      </c>
      <c r="I41" s="18" t="s">
        <v>93</v>
      </c>
      <c r="J41" s="8" t="s">
        <v>10</v>
      </c>
      <c r="K41" s="18" t="s">
        <v>93</v>
      </c>
      <c r="L41" s="8" t="s">
        <v>11</v>
      </c>
      <c r="M41" s="18" t="s">
        <v>93</v>
      </c>
      <c r="N41" s="8" t="s">
        <v>12</v>
      </c>
      <c r="O41" s="18" t="s">
        <v>93</v>
      </c>
      <c r="P41"/>
    </row>
    <row r="42" spans="2:22" ht="15">
      <c r="B42" s="35" t="s">
        <v>67</v>
      </c>
      <c r="C42" s="35"/>
      <c r="D42" s="24"/>
      <c r="E42" s="25"/>
      <c r="F42" s="24"/>
      <c r="G42" s="25"/>
      <c r="H42" s="24"/>
      <c r="I42" s="25"/>
      <c r="J42" s="24"/>
      <c r="K42" s="26"/>
      <c r="L42" s="24"/>
      <c r="M42" s="25"/>
      <c r="N42" s="24"/>
      <c r="O42" s="25"/>
      <c r="P42"/>
    </row>
    <row r="43" spans="2:22" ht="15">
      <c r="B43" s="36" t="s">
        <v>68</v>
      </c>
      <c r="C43" s="36" t="s">
        <v>56</v>
      </c>
      <c r="D43" s="55">
        <v>17.5</v>
      </c>
      <c r="E43" s="25">
        <v>-0.6</v>
      </c>
      <c r="F43" s="55">
        <v>18.100000000000001</v>
      </c>
      <c r="G43" s="25">
        <v>0.3</v>
      </c>
      <c r="H43" s="55">
        <v>14.8</v>
      </c>
      <c r="I43" s="25">
        <v>-0.2</v>
      </c>
      <c r="J43" s="55">
        <v>12</v>
      </c>
      <c r="K43" s="25">
        <v>0.5</v>
      </c>
      <c r="L43" s="55">
        <v>7.9</v>
      </c>
      <c r="M43" s="25">
        <v>0</v>
      </c>
      <c r="N43" s="55">
        <v>7.2</v>
      </c>
      <c r="O43" s="25">
        <v>1.8</v>
      </c>
      <c r="P43"/>
    </row>
    <row r="44" spans="2:22" ht="15">
      <c r="B44" s="36" t="s">
        <v>69</v>
      </c>
      <c r="C44" s="36" t="s">
        <v>56</v>
      </c>
      <c r="D44" s="55">
        <v>22.3</v>
      </c>
      <c r="E44" s="56">
        <v>-0.8</v>
      </c>
      <c r="F44" s="55">
        <v>22.9</v>
      </c>
      <c r="G44" s="56">
        <v>0.4</v>
      </c>
      <c r="H44" s="55">
        <v>18.7</v>
      </c>
      <c r="I44" s="56">
        <v>-0.7</v>
      </c>
      <c r="J44" s="55">
        <v>15.4</v>
      </c>
      <c r="K44" s="56">
        <v>0.3</v>
      </c>
      <c r="L44" s="55">
        <v>10.6</v>
      </c>
      <c r="M44" s="56">
        <v>-0.3</v>
      </c>
      <c r="N44" s="55">
        <v>9.3000000000000007</v>
      </c>
      <c r="O44" s="56">
        <v>1.1000000000000001</v>
      </c>
      <c r="P44"/>
    </row>
    <row r="45" spans="2:22" ht="15">
      <c r="B45" s="36" t="s">
        <v>70</v>
      </c>
      <c r="C45" s="36" t="s">
        <v>56</v>
      </c>
      <c r="D45" s="55">
        <v>12.8</v>
      </c>
      <c r="E45" s="25">
        <v>-0.3</v>
      </c>
      <c r="F45" s="55">
        <v>13.4</v>
      </c>
      <c r="G45" s="25">
        <v>0.4</v>
      </c>
      <c r="H45" s="55">
        <v>10.9</v>
      </c>
      <c r="I45" s="25">
        <v>0.2</v>
      </c>
      <c r="J45" s="55">
        <v>8.5</v>
      </c>
      <c r="K45" s="26">
        <v>0.5</v>
      </c>
      <c r="L45" s="55">
        <v>5.2</v>
      </c>
      <c r="M45" s="26">
        <v>0.4</v>
      </c>
      <c r="N45" s="55">
        <v>5</v>
      </c>
      <c r="O45" s="39">
        <v>2.4</v>
      </c>
      <c r="P45"/>
    </row>
    <row r="46" spans="2:22" ht="15">
      <c r="B46" s="36" t="s">
        <v>71</v>
      </c>
      <c r="C46" s="36" t="s">
        <v>56</v>
      </c>
      <c r="D46" s="55">
        <v>29.9</v>
      </c>
      <c r="E46" s="25">
        <v>0</v>
      </c>
      <c r="F46" s="55">
        <v>30.4</v>
      </c>
      <c r="G46" s="25">
        <v>1.5</v>
      </c>
      <c r="H46" s="55">
        <v>27</v>
      </c>
      <c r="I46" s="25">
        <v>2.1</v>
      </c>
      <c r="J46" s="55">
        <v>18.600000000000001</v>
      </c>
      <c r="K46" s="25">
        <v>-1.5</v>
      </c>
      <c r="L46" s="55">
        <v>17.399999999999999</v>
      </c>
      <c r="M46" s="39">
        <v>1.6</v>
      </c>
      <c r="N46" s="55">
        <v>14.3</v>
      </c>
      <c r="O46" s="25">
        <v>1.1000000000000001</v>
      </c>
      <c r="P46"/>
    </row>
    <row r="47" spans="2:22" ht="15">
      <c r="B47" s="36" t="s">
        <v>72</v>
      </c>
      <c r="C47" s="36" t="s">
        <v>56</v>
      </c>
      <c r="D47" s="55">
        <v>16.899999999999999</v>
      </c>
      <c r="E47" s="25">
        <v>-0.9</v>
      </c>
      <c r="F47" s="55">
        <v>19.100000000000001</v>
      </c>
      <c r="G47" s="25">
        <v>2</v>
      </c>
      <c r="H47" s="55">
        <v>13.3</v>
      </c>
      <c r="I47" s="25">
        <v>-1.3</v>
      </c>
      <c r="J47" s="55">
        <v>10.5</v>
      </c>
      <c r="K47" s="25">
        <v>0</v>
      </c>
      <c r="L47" s="55">
        <v>2.1</v>
      </c>
      <c r="M47" s="25">
        <v>-3.4</v>
      </c>
      <c r="N47" s="55">
        <v>5.3</v>
      </c>
      <c r="O47" s="25">
        <v>3.5</v>
      </c>
      <c r="P47"/>
    </row>
    <row r="48" spans="2:22" ht="15">
      <c r="B48" s="36" t="s">
        <v>73</v>
      </c>
      <c r="C48" s="36" t="s">
        <v>56</v>
      </c>
      <c r="D48" s="55">
        <v>17.100000000000001</v>
      </c>
      <c r="E48" s="25">
        <v>-0.3</v>
      </c>
      <c r="F48" s="55">
        <v>18.2</v>
      </c>
      <c r="G48" s="25">
        <v>0.8</v>
      </c>
      <c r="H48" s="55">
        <v>16.600000000000001</v>
      </c>
      <c r="I48" s="25">
        <v>1.1000000000000001</v>
      </c>
      <c r="J48" s="58">
        <v>13.2</v>
      </c>
      <c r="K48" s="25">
        <v>-0.4</v>
      </c>
      <c r="L48" s="55">
        <v>11.3</v>
      </c>
      <c r="M48" s="25">
        <v>-0.2</v>
      </c>
      <c r="N48" s="55">
        <v>11.9</v>
      </c>
      <c r="O48" s="25">
        <v>2.2000000000000002</v>
      </c>
      <c r="P48"/>
    </row>
    <row r="49" spans="2:21" ht="15">
      <c r="B49" s="36" t="s">
        <v>74</v>
      </c>
      <c r="C49" s="36" t="s">
        <v>56</v>
      </c>
      <c r="D49" s="55">
        <v>8.5</v>
      </c>
      <c r="E49" s="25">
        <v>-0.4</v>
      </c>
      <c r="F49" s="55">
        <v>8.6</v>
      </c>
      <c r="G49" s="25">
        <v>0.3</v>
      </c>
      <c r="H49" s="55">
        <v>3</v>
      </c>
      <c r="I49" s="25">
        <v>-2</v>
      </c>
      <c r="J49" s="58">
        <v>0.6</v>
      </c>
      <c r="K49" s="25">
        <v>-0.8</v>
      </c>
      <c r="L49" s="55">
        <v>-1.6</v>
      </c>
      <c r="M49" s="25">
        <v>-0.1</v>
      </c>
      <c r="N49" s="55">
        <v>1.6</v>
      </c>
      <c r="O49" s="41">
        <v>5.8</v>
      </c>
      <c r="P49"/>
    </row>
    <row r="50" spans="2:21" ht="15">
      <c r="B50" s="36" t="s">
        <v>75</v>
      </c>
      <c r="C50" s="36" t="s">
        <v>95</v>
      </c>
      <c r="D50" s="55">
        <v>0</v>
      </c>
      <c r="E50" s="26">
        <v>0</v>
      </c>
      <c r="F50" s="55">
        <v>0</v>
      </c>
      <c r="G50" s="26">
        <v>0</v>
      </c>
      <c r="H50" s="55">
        <v>0</v>
      </c>
      <c r="I50" s="26">
        <v>0</v>
      </c>
      <c r="J50" s="14">
        <v>0</v>
      </c>
      <c r="K50" s="26">
        <v>-0.7</v>
      </c>
      <c r="L50" s="55">
        <v>5</v>
      </c>
      <c r="M50" s="25">
        <v>1.8</v>
      </c>
      <c r="N50" s="55">
        <v>0</v>
      </c>
      <c r="O50" s="26">
        <v>-8.6</v>
      </c>
      <c r="P50"/>
    </row>
    <row r="51" spans="2:21" ht="15">
      <c r="B51" s="36" t="s">
        <v>76</v>
      </c>
      <c r="C51" s="36" t="s">
        <v>56</v>
      </c>
      <c r="D51" s="55">
        <v>11.5</v>
      </c>
      <c r="E51" s="38">
        <v>1.1000000000000001</v>
      </c>
      <c r="F51" s="55">
        <v>11.2</v>
      </c>
      <c r="G51" s="26">
        <v>1.2</v>
      </c>
      <c r="H51" s="55">
        <v>8.6999999999999993</v>
      </c>
      <c r="I51" s="26">
        <v>1.2</v>
      </c>
      <c r="J51" s="55">
        <v>5.8</v>
      </c>
      <c r="K51" s="26">
        <v>1</v>
      </c>
      <c r="L51" s="55">
        <v>3</v>
      </c>
      <c r="M51" s="26">
        <v>1.3</v>
      </c>
      <c r="N51" s="55">
        <v>2.9</v>
      </c>
      <c r="O51" s="38">
        <v>3.2</v>
      </c>
      <c r="P51"/>
    </row>
    <row r="52" spans="2:21" ht="15">
      <c r="B52" s="36" t="s">
        <v>77</v>
      </c>
      <c r="C52" s="36" t="s">
        <v>56</v>
      </c>
      <c r="D52" s="55">
        <v>5.2</v>
      </c>
      <c r="E52" s="25">
        <v>1.1000000000000001</v>
      </c>
      <c r="F52" s="55">
        <v>5.7</v>
      </c>
      <c r="G52" s="39">
        <v>1.7</v>
      </c>
      <c r="H52" s="55">
        <v>-1.1000000000000001</v>
      </c>
      <c r="I52" s="25">
        <v>-2.1</v>
      </c>
      <c r="J52" s="55">
        <v>-1.5</v>
      </c>
      <c r="K52" s="26">
        <v>1.4</v>
      </c>
      <c r="L52" s="55">
        <v>-5</v>
      </c>
      <c r="M52" s="25">
        <v>0.9</v>
      </c>
      <c r="N52" s="55">
        <v>-1.9</v>
      </c>
      <c r="O52" s="41">
        <v>6.1</v>
      </c>
      <c r="P52"/>
    </row>
    <row r="53" spans="2:21" ht="15">
      <c r="B53" s="36" t="s">
        <v>78</v>
      </c>
      <c r="C53" s="36" t="s">
        <v>95</v>
      </c>
      <c r="D53" s="55">
        <v>0</v>
      </c>
      <c r="E53" s="56">
        <v>0</v>
      </c>
      <c r="F53" s="55">
        <v>0</v>
      </c>
      <c r="G53" s="56">
        <v>0</v>
      </c>
      <c r="H53" s="55">
        <v>1</v>
      </c>
      <c r="I53" s="56">
        <v>0.4</v>
      </c>
      <c r="J53" s="55">
        <v>4</v>
      </c>
      <c r="K53" s="56">
        <v>-0.5</v>
      </c>
      <c r="L53" s="55">
        <v>9</v>
      </c>
      <c r="M53" s="56">
        <v>-2.1</v>
      </c>
      <c r="N53" s="55">
        <v>5</v>
      </c>
      <c r="O53" s="56">
        <v>-11.1</v>
      </c>
      <c r="P53"/>
    </row>
    <row r="54" spans="2:21" ht="15">
      <c r="B54" s="36" t="s">
        <v>79</v>
      </c>
      <c r="C54" s="36" t="s">
        <v>56</v>
      </c>
      <c r="D54" s="55">
        <v>12.9</v>
      </c>
      <c r="E54" s="56">
        <v>0.2</v>
      </c>
      <c r="F54" s="55">
        <v>13.2</v>
      </c>
      <c r="G54" s="56">
        <v>0.9</v>
      </c>
      <c r="H54" s="55">
        <v>10.5</v>
      </c>
      <c r="I54" s="56">
        <v>1</v>
      </c>
      <c r="J54" s="55">
        <v>7.3</v>
      </c>
      <c r="K54" s="56">
        <v>1.1000000000000001</v>
      </c>
      <c r="L54" s="55">
        <v>4.2</v>
      </c>
      <c r="M54" s="56">
        <v>1</v>
      </c>
      <c r="N54" s="55">
        <v>3.9</v>
      </c>
      <c r="O54" s="57">
        <v>3</v>
      </c>
      <c r="P54"/>
    </row>
    <row r="55" spans="2:21" ht="15">
      <c r="B55" s="36" t="s">
        <v>80</v>
      </c>
      <c r="C55" s="36" t="s">
        <v>56</v>
      </c>
      <c r="D55" s="55">
        <v>8.5</v>
      </c>
      <c r="E55" s="25">
        <v>0.8</v>
      </c>
      <c r="F55" s="55">
        <v>8.1</v>
      </c>
      <c r="G55" s="26">
        <v>1.1000000000000001</v>
      </c>
      <c r="H55" s="55">
        <v>1.9</v>
      </c>
      <c r="I55" s="25">
        <v>-1.5</v>
      </c>
      <c r="J55" s="55">
        <v>0.1</v>
      </c>
      <c r="K55" s="25">
        <v>0.8</v>
      </c>
      <c r="L55" s="55">
        <v>-2.6</v>
      </c>
      <c r="M55" s="25">
        <v>1.1000000000000001</v>
      </c>
      <c r="N55" s="55">
        <v>-0.7</v>
      </c>
      <c r="O55" s="41">
        <v>4.7</v>
      </c>
      <c r="P55"/>
    </row>
    <row r="56" spans="2:21" ht="15">
      <c r="B56" s="36" t="s">
        <v>81</v>
      </c>
      <c r="C56" s="36" t="s">
        <v>56</v>
      </c>
      <c r="D56" s="55">
        <v>19.3</v>
      </c>
      <c r="E56" s="25">
        <v>0.1</v>
      </c>
      <c r="F56" s="55">
        <v>19.7</v>
      </c>
      <c r="G56" s="25">
        <v>0.6</v>
      </c>
      <c r="H56" s="55">
        <v>16.7</v>
      </c>
      <c r="I56" s="25">
        <v>0.3</v>
      </c>
      <c r="J56" s="55">
        <v>12.7</v>
      </c>
      <c r="K56" s="26">
        <v>0.3</v>
      </c>
      <c r="L56" s="55">
        <v>9.9</v>
      </c>
      <c r="M56" s="39">
        <v>1.1000000000000001</v>
      </c>
      <c r="N56" s="55">
        <v>7.7</v>
      </c>
      <c r="O56" s="39">
        <v>1.7</v>
      </c>
      <c r="P56"/>
    </row>
    <row r="57" spans="2:21" ht="15">
      <c r="B57" s="36" t="s">
        <v>82</v>
      </c>
      <c r="C57" s="36" t="s">
        <v>56</v>
      </c>
      <c r="D57" s="55">
        <v>17.5</v>
      </c>
      <c r="E57" s="56"/>
      <c r="F57" s="55">
        <v>18.7</v>
      </c>
      <c r="G57" s="56"/>
      <c r="H57" s="55">
        <v>17.100000000000001</v>
      </c>
      <c r="I57" s="56"/>
      <c r="J57" s="55">
        <v>14.1</v>
      </c>
      <c r="K57" s="56"/>
      <c r="L57" s="55">
        <v>12</v>
      </c>
      <c r="M57" s="56"/>
      <c r="N57" s="55">
        <v>9.4</v>
      </c>
      <c r="O57" s="56"/>
      <c r="P57"/>
    </row>
    <row r="58" spans="2:21" ht="15">
      <c r="B58" s="35" t="s">
        <v>83</v>
      </c>
      <c r="C58" s="35"/>
      <c r="D58" s="55"/>
      <c r="E58" s="25"/>
      <c r="F58" s="55"/>
      <c r="G58" s="26"/>
      <c r="H58" s="55"/>
      <c r="I58" s="25"/>
      <c r="J58" s="55"/>
      <c r="K58" s="25"/>
      <c r="L58" s="55"/>
      <c r="M58" s="25"/>
      <c r="N58" s="55"/>
      <c r="O58" s="25"/>
      <c r="P58"/>
    </row>
    <row r="59" spans="2:21" ht="15">
      <c r="B59" s="36" t="s">
        <v>84</v>
      </c>
      <c r="C59" s="36" t="s">
        <v>58</v>
      </c>
      <c r="D59" s="55">
        <v>67.900000000000006</v>
      </c>
      <c r="E59" s="25">
        <v>128</v>
      </c>
      <c r="F59" s="55">
        <v>36</v>
      </c>
      <c r="G59" s="25">
        <v>60</v>
      </c>
      <c r="H59" s="55">
        <v>193.3</v>
      </c>
      <c r="I59" s="46" t="s">
        <v>98</v>
      </c>
      <c r="J59" s="55">
        <v>72.7</v>
      </c>
      <c r="K59" s="25">
        <v>99</v>
      </c>
      <c r="L59" s="55">
        <v>74.7</v>
      </c>
      <c r="M59" s="25">
        <v>104</v>
      </c>
      <c r="N59" s="55">
        <v>45.2</v>
      </c>
      <c r="O59" s="25">
        <v>68</v>
      </c>
      <c r="P59"/>
    </row>
    <row r="60" spans="2:21" ht="13.5" customHeight="1">
      <c r="B60" s="36" t="s">
        <v>85</v>
      </c>
      <c r="C60" s="36" t="s">
        <v>58</v>
      </c>
      <c r="D60" s="55">
        <v>29.2</v>
      </c>
      <c r="E60" s="56">
        <v>160</v>
      </c>
      <c r="F60" s="55">
        <v>14.7</v>
      </c>
      <c r="G60" s="56">
        <v>88</v>
      </c>
      <c r="H60" s="55">
        <v>77.099999999999994</v>
      </c>
      <c r="I60" s="56">
        <v>470</v>
      </c>
      <c r="J60" s="55">
        <v>14.7</v>
      </c>
      <c r="K60" s="56">
        <v>75</v>
      </c>
      <c r="L60" s="55">
        <v>27.4</v>
      </c>
      <c r="M60" s="56">
        <v>161</v>
      </c>
      <c r="N60" s="55">
        <v>8.8000000000000007</v>
      </c>
      <c r="O60" s="56">
        <v>58</v>
      </c>
      <c r="S60"/>
      <c r="T60"/>
      <c r="U60"/>
    </row>
    <row r="61" spans="2:21" ht="15">
      <c r="B61" s="36" t="s">
        <v>13</v>
      </c>
      <c r="C61" s="36" t="s">
        <v>95</v>
      </c>
      <c r="D61" s="55">
        <v>13</v>
      </c>
      <c r="E61" s="25">
        <v>1.5</v>
      </c>
      <c r="F61" s="55">
        <v>12</v>
      </c>
      <c r="G61" s="25">
        <v>-0.6</v>
      </c>
      <c r="H61" s="55">
        <v>19</v>
      </c>
      <c r="I61" s="25">
        <v>6.7</v>
      </c>
      <c r="J61" s="55">
        <v>20</v>
      </c>
      <c r="K61" s="25">
        <v>4.3</v>
      </c>
      <c r="L61" s="55">
        <v>12</v>
      </c>
      <c r="M61" s="25">
        <v>-4.8</v>
      </c>
      <c r="N61" s="55">
        <v>18</v>
      </c>
      <c r="O61" s="25">
        <v>1.5</v>
      </c>
      <c r="S61"/>
      <c r="T61"/>
      <c r="U61"/>
    </row>
    <row r="62" spans="2:21" ht="15">
      <c r="B62" s="36" t="s">
        <v>14</v>
      </c>
      <c r="C62" s="36" t="s">
        <v>95</v>
      </c>
      <c r="D62" s="55">
        <v>8</v>
      </c>
      <c r="E62" s="26">
        <v>-0.3</v>
      </c>
      <c r="F62" s="55">
        <v>6</v>
      </c>
      <c r="G62" s="25">
        <v>-3.1</v>
      </c>
      <c r="H62" s="55">
        <v>14</v>
      </c>
      <c r="I62" s="25">
        <v>5.4</v>
      </c>
      <c r="J62" s="55">
        <v>13</v>
      </c>
      <c r="K62" s="25">
        <v>2.1</v>
      </c>
      <c r="L62" s="55">
        <v>7</v>
      </c>
      <c r="M62" s="25">
        <v>-5.3</v>
      </c>
      <c r="N62" s="55">
        <v>9</v>
      </c>
      <c r="O62" s="25">
        <v>-2.4</v>
      </c>
      <c r="S62"/>
      <c r="T62"/>
      <c r="U62"/>
    </row>
    <row r="63" spans="2:21" ht="15">
      <c r="B63" s="35" t="s">
        <v>86</v>
      </c>
      <c r="C63" s="35"/>
      <c r="D63" s="55"/>
      <c r="E63" s="27"/>
      <c r="F63" s="55"/>
      <c r="G63" s="25"/>
      <c r="H63" s="55"/>
      <c r="I63" s="27"/>
      <c r="J63" s="55"/>
      <c r="K63" s="27"/>
      <c r="L63" s="55"/>
      <c r="M63" s="25"/>
      <c r="N63" s="55"/>
      <c r="O63" s="25"/>
    </row>
    <row r="64" spans="2:21" ht="15">
      <c r="B64" s="36" t="s">
        <v>87</v>
      </c>
      <c r="C64" s="43" t="s">
        <v>96</v>
      </c>
      <c r="D64" s="60">
        <v>199.5</v>
      </c>
      <c r="E64" s="25">
        <v>94</v>
      </c>
      <c r="F64" s="61">
        <v>205.4</v>
      </c>
      <c r="G64" s="25">
        <v>107</v>
      </c>
      <c r="H64" s="61">
        <v>109.8</v>
      </c>
      <c r="I64" s="25">
        <v>76</v>
      </c>
      <c r="J64" s="61">
        <v>100.1</v>
      </c>
      <c r="K64" s="25">
        <v>91</v>
      </c>
      <c r="L64" s="62">
        <v>61</v>
      </c>
      <c r="M64" s="25">
        <v>86</v>
      </c>
      <c r="N64" s="55">
        <v>20.100000000000001</v>
      </c>
      <c r="O64" s="41">
        <v>36</v>
      </c>
    </row>
    <row r="65" spans="2:15" ht="15">
      <c r="B65" s="36" t="s">
        <v>88</v>
      </c>
      <c r="C65" s="36" t="s">
        <v>96</v>
      </c>
      <c r="D65" s="58">
        <v>6.44</v>
      </c>
      <c r="E65" s="63">
        <v>-0.41</v>
      </c>
      <c r="F65" s="58">
        <v>6.63</v>
      </c>
      <c r="G65" s="54">
        <v>0.41</v>
      </c>
      <c r="H65" s="58">
        <v>3.66</v>
      </c>
      <c r="I65" s="58">
        <v>-1.1399999999999999</v>
      </c>
      <c r="J65" s="58">
        <v>3.23</v>
      </c>
      <c r="K65" s="64">
        <v>-0.32</v>
      </c>
      <c r="L65" s="58">
        <v>2.0299999999999998</v>
      </c>
      <c r="M65" s="58">
        <v>-0.33</v>
      </c>
      <c r="N65" s="58">
        <v>0.65</v>
      </c>
      <c r="O65" s="58">
        <v>-1.18</v>
      </c>
    </row>
    <row r="66" spans="2:15" ht="15">
      <c r="B66" s="36" t="s">
        <v>89</v>
      </c>
      <c r="C66" s="36" t="s">
        <v>96</v>
      </c>
      <c r="D66" s="58">
        <v>14</v>
      </c>
      <c r="E66" s="58"/>
      <c r="F66" s="58">
        <v>12.5</v>
      </c>
      <c r="G66" s="58"/>
      <c r="H66" s="58">
        <v>11.2</v>
      </c>
      <c r="I66" s="58"/>
      <c r="J66" s="58">
        <v>8.3000000000000007</v>
      </c>
      <c r="K66" s="58"/>
      <c r="L66" s="58">
        <v>7.1</v>
      </c>
      <c r="M66" s="58"/>
      <c r="N66" s="58">
        <v>4.5</v>
      </c>
      <c r="O66" s="58"/>
    </row>
    <row r="67" spans="2:15" ht="15">
      <c r="B67" s="36" t="s">
        <v>90</v>
      </c>
      <c r="C67" s="36" t="s">
        <v>97</v>
      </c>
      <c r="D67" s="58">
        <v>5.2</v>
      </c>
      <c r="E67" s="58"/>
      <c r="F67" s="58">
        <v>5.9</v>
      </c>
      <c r="G67" s="58"/>
      <c r="H67" s="58">
        <v>5.6</v>
      </c>
      <c r="I67" s="58"/>
      <c r="J67" s="58">
        <v>4.8</v>
      </c>
      <c r="K67" s="64"/>
      <c r="L67" s="58">
        <v>3.5</v>
      </c>
      <c r="M67" s="58"/>
      <c r="N67" s="58">
        <v>6.4</v>
      </c>
      <c r="O67" s="58"/>
    </row>
    <row r="68" spans="2:15" ht="15">
      <c r="B68" s="36" t="s">
        <v>91</v>
      </c>
      <c r="C68" s="36" t="s">
        <v>95</v>
      </c>
      <c r="D68" s="58">
        <v>0</v>
      </c>
      <c r="E68" s="58">
        <v>-0.2</v>
      </c>
      <c r="F68" s="58">
        <v>0</v>
      </c>
      <c r="G68" s="58">
        <v>-0.3</v>
      </c>
      <c r="H68" s="58">
        <v>0</v>
      </c>
      <c r="I68" s="58">
        <v>-0.6</v>
      </c>
      <c r="J68" s="58">
        <v>1</v>
      </c>
      <c r="K68" s="64">
        <v>-0.4</v>
      </c>
      <c r="L68" s="58">
        <v>1</v>
      </c>
      <c r="M68" s="58">
        <v>-1.4</v>
      </c>
      <c r="N68" s="58">
        <v>4</v>
      </c>
      <c r="O68" s="58">
        <v>0.7</v>
      </c>
    </row>
    <row r="69" spans="2:15" ht="15">
      <c r="B69" s="36" t="s">
        <v>92</v>
      </c>
      <c r="C69" s="36" t="s">
        <v>95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64">
        <v>0</v>
      </c>
      <c r="L69" s="58">
        <v>1</v>
      </c>
      <c r="M69" s="58">
        <v>0.9</v>
      </c>
      <c r="N69" s="58">
        <v>0</v>
      </c>
      <c r="O69" s="58">
        <v>-1.4</v>
      </c>
    </row>
    <row r="70" spans="2:15">
      <c r="F70" s="3"/>
      <c r="H70" s="3"/>
      <c r="I70" s="5"/>
      <c r="J70" s="3"/>
    </row>
    <row r="71" spans="2:15">
      <c r="F71" s="3"/>
      <c r="H71" s="3"/>
      <c r="I71" s="5"/>
      <c r="J71" s="3"/>
    </row>
    <row r="72" spans="2:15">
      <c r="F72" s="3"/>
      <c r="H72" s="3"/>
      <c r="I72" s="5"/>
      <c r="J72" s="3"/>
    </row>
    <row r="73" spans="2:15">
      <c r="F73" s="3"/>
      <c r="H73" s="3"/>
      <c r="I73" s="5"/>
      <c r="J73" s="3"/>
    </row>
    <row r="74" spans="2:15">
      <c r="F74" s="3"/>
      <c r="H74" s="3"/>
      <c r="I74" s="5"/>
      <c r="J74" s="3"/>
    </row>
    <row r="75" spans="2:15">
      <c r="F75" s="3"/>
    </row>
    <row r="76" spans="2:15">
      <c r="F76" s="3"/>
    </row>
    <row r="77" spans="2:15">
      <c r="F77" s="3"/>
    </row>
    <row r="78" spans="2:15">
      <c r="F78" s="3"/>
    </row>
    <row r="79" spans="2:15">
      <c r="F79" s="3"/>
    </row>
    <row r="80" spans="2:15">
      <c r="F80" s="3"/>
    </row>
    <row r="81" spans="6:14">
      <c r="F81" s="3"/>
    </row>
    <row r="82" spans="6:14">
      <c r="F82" s="3"/>
    </row>
    <row r="83" spans="6:14">
      <c r="F83" s="3"/>
    </row>
    <row r="84" spans="6:14">
      <c r="F84" s="3"/>
      <c r="H84" s="3"/>
      <c r="J84" s="3"/>
      <c r="K84" s="1"/>
      <c r="L84" s="3"/>
      <c r="M84" s="5"/>
      <c r="N84" s="3"/>
    </row>
    <row r="85" spans="6:14">
      <c r="F85" s="3"/>
      <c r="H85" s="3"/>
      <c r="J85" s="3"/>
      <c r="K85" s="1"/>
      <c r="L85" s="3"/>
      <c r="M85" s="5"/>
      <c r="N85" s="3"/>
    </row>
  </sheetData>
  <mergeCells count="8">
    <mergeCell ref="V9:AB9"/>
    <mergeCell ref="H2:M2"/>
    <mergeCell ref="H4:M4"/>
    <mergeCell ref="H6:M6"/>
    <mergeCell ref="Q5:S5"/>
    <mergeCell ref="Q6:S6"/>
    <mergeCell ref="Q7:S7"/>
    <mergeCell ref="Q8:S8"/>
  </mergeCells>
  <phoneticPr fontId="0" type="noConversion"/>
  <pageMargins left="0.75" right="0.75" top="0.48" bottom="0.59" header="0.5" footer="0.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5661A-6B18-404D-B980-C0D786A97517}">
  <dimension ref="A1:AG383"/>
  <sheetViews>
    <sheetView topLeftCell="A332" workbookViewId="0">
      <selection activeCell="H365" sqref="H365"/>
    </sheetView>
  </sheetViews>
  <sheetFormatPr defaultRowHeight="12.75"/>
  <cols>
    <col min="1" max="21" width="9.140625" style="84"/>
    <col min="22" max="22" width="10.42578125" style="84" bestFit="1" customWidth="1"/>
    <col min="23" max="16384" width="9.140625" style="84"/>
  </cols>
  <sheetData>
    <row r="1" spans="1:26" ht="38.25">
      <c r="A1" s="28"/>
      <c r="B1" s="75" t="s">
        <v>23</v>
      </c>
      <c r="C1" s="75"/>
      <c r="D1" s="29" t="s">
        <v>24</v>
      </c>
      <c r="E1" s="29" t="s">
        <v>25</v>
      </c>
      <c r="F1" s="29" t="s">
        <v>26</v>
      </c>
      <c r="G1" s="29" t="s">
        <v>27</v>
      </c>
      <c r="H1" s="29" t="s">
        <v>28</v>
      </c>
      <c r="I1" s="29" t="s">
        <v>29</v>
      </c>
      <c r="J1" s="29" t="s">
        <v>30</v>
      </c>
      <c r="K1" s="29" t="s">
        <v>31</v>
      </c>
      <c r="L1" s="29" t="s">
        <v>32</v>
      </c>
      <c r="M1" s="29" t="s">
        <v>33</v>
      </c>
      <c r="N1" s="29" t="s">
        <v>34</v>
      </c>
      <c r="O1" s="29" t="s">
        <v>35</v>
      </c>
      <c r="P1" s="29" t="s">
        <v>36</v>
      </c>
      <c r="Q1" s="29" t="s">
        <v>37</v>
      </c>
      <c r="R1" s="29" t="s">
        <v>38</v>
      </c>
      <c r="S1" s="29" t="s">
        <v>39</v>
      </c>
      <c r="T1" s="29" t="s">
        <v>40</v>
      </c>
      <c r="U1" s="29" t="s">
        <v>41</v>
      </c>
      <c r="V1" s="29" t="s">
        <v>42</v>
      </c>
      <c r="W1" s="29" t="s">
        <v>43</v>
      </c>
      <c r="X1" s="29" t="s">
        <v>44</v>
      </c>
      <c r="Y1" s="29" t="s">
        <v>45</v>
      </c>
      <c r="Z1" s="29" t="s">
        <v>46</v>
      </c>
    </row>
    <row r="2" spans="1:26">
      <c r="A2" s="30" t="s">
        <v>47</v>
      </c>
      <c r="B2" s="31" t="s">
        <v>48</v>
      </c>
      <c r="C2" s="31" t="s">
        <v>49</v>
      </c>
      <c r="D2" s="31" t="s">
        <v>50</v>
      </c>
      <c r="E2" s="31" t="s">
        <v>49</v>
      </c>
      <c r="F2" s="31" t="s">
        <v>51</v>
      </c>
      <c r="G2" s="31" t="s">
        <v>52</v>
      </c>
      <c r="H2" s="31" t="s">
        <v>52</v>
      </c>
      <c r="I2" s="31" t="s">
        <v>53</v>
      </c>
      <c r="J2" s="31" t="s">
        <v>54</v>
      </c>
      <c r="K2" s="31" t="s">
        <v>53</v>
      </c>
      <c r="L2" s="31" t="s">
        <v>55</v>
      </c>
      <c r="M2" s="31" t="s">
        <v>56</v>
      </c>
      <c r="N2" s="31" t="s">
        <v>56</v>
      </c>
      <c r="O2" s="31" t="s">
        <v>57</v>
      </c>
      <c r="P2" s="31" t="s">
        <v>56</v>
      </c>
      <c r="Q2" s="31" t="s">
        <v>56</v>
      </c>
      <c r="R2" s="31" t="s">
        <v>56</v>
      </c>
      <c r="S2" s="31" t="s">
        <v>56</v>
      </c>
      <c r="T2" s="31" t="s">
        <v>56</v>
      </c>
      <c r="U2" s="31" t="s">
        <v>56</v>
      </c>
      <c r="V2" s="31" t="s">
        <v>56</v>
      </c>
      <c r="W2" s="31" t="s">
        <v>56</v>
      </c>
      <c r="X2" s="31" t="s">
        <v>56</v>
      </c>
      <c r="Y2" s="31" t="s">
        <v>58</v>
      </c>
      <c r="Z2" s="31" t="s">
        <v>59</v>
      </c>
    </row>
    <row r="3" spans="1:26">
      <c r="A3" s="78">
        <v>45292</v>
      </c>
      <c r="B3" s="79">
        <v>29.491</v>
      </c>
      <c r="C3" s="80">
        <f t="shared" ref="C3:C62" si="0">B3*33.86388</f>
        <v>998.67968508000001</v>
      </c>
      <c r="D3" s="80">
        <v>71.3</v>
      </c>
      <c r="E3" s="80">
        <f>(C3-0.163*((D3-32)*5/9) + (0.5685 *((C3-0.163*((D3-32)*5/9)))/1000)) *EXP([1]Calc!$C$14/((M3+273.15)+((0.0065*64.6)/2)+(0.12*0.85*((6.112*EXP((17.67*M3)/(M3+243.5)))))))</f>
        <v>1003.5477575939988</v>
      </c>
      <c r="F3" s="81">
        <v>4</v>
      </c>
      <c r="G3" s="82">
        <v>12</v>
      </c>
      <c r="H3" s="82">
        <f>G3*0.7</f>
        <v>8.3999999999999986</v>
      </c>
      <c r="I3" s="32">
        <v>8</v>
      </c>
      <c r="J3" s="83">
        <v>2</v>
      </c>
      <c r="K3" s="32">
        <v>1</v>
      </c>
      <c r="L3" s="84">
        <v>0</v>
      </c>
      <c r="M3" s="85">
        <v>6.3</v>
      </c>
      <c r="N3" s="85">
        <v>5</v>
      </c>
      <c r="O3" s="81">
        <f t="shared" ref="O3:O62" si="1">IF(M3&gt;0,100*(((6.112*EXP((17.67*N3)/(N3+243.5)))-0.8*(M3-N3))/(6.112*EXP((17.67*M3)/(M3+243.5)))),100*(((6.109*EXP((22.5*N3)/(N3+273)))-0.8*(M3-N3))/(6.109*EXP((22.5*M3)/(M3+273)))))</f>
        <v>80.486215329700997</v>
      </c>
      <c r="P3" s="85">
        <f t="shared" ref="P3:P63" si="2">IF(M3&gt;0, (243.5*LN(((6.112*EXP((17.67*N3)/(N3+243.5)))-0.8*(M3-N3))/6.112))/(17.67-LN(((6.112*EXP((17.67*N3)/(N3+243.5)))-0.8*(M3-N3))/6.112)),(273*LN(((6.109*EXP((22.5*N3)/(N3+273)))-0.8*(M3-N3))/6.109))/(22.5-LN(((6.109*EXP((22.5*N3)/(N3+273)))-0.8*(M3-N3))/6.109)))</f>
        <v>3.1908739698886368</v>
      </c>
      <c r="Q3" s="86"/>
      <c r="R3" s="85">
        <v>7.5</v>
      </c>
      <c r="S3" s="85">
        <v>9.1999999999999993</v>
      </c>
      <c r="T3" s="85">
        <v>12</v>
      </c>
      <c r="U3" s="85">
        <v>6.2</v>
      </c>
      <c r="V3" s="85">
        <f>AVERAGE(T3:U3)</f>
        <v>9.1</v>
      </c>
      <c r="W3" s="85">
        <v>2.9</v>
      </c>
      <c r="X3" s="85">
        <v>2.5</v>
      </c>
      <c r="Y3" s="87">
        <v>4.5</v>
      </c>
      <c r="Z3" s="88">
        <v>0.2</v>
      </c>
    </row>
    <row r="4" spans="1:26">
      <c r="A4" s="78">
        <f t="shared" ref="A4:A67" si="3">A3+1</f>
        <v>45293</v>
      </c>
      <c r="B4" s="79">
        <v>28.904</v>
      </c>
      <c r="C4" s="80">
        <f t="shared" si="0"/>
        <v>978.80158752</v>
      </c>
      <c r="D4" s="80">
        <v>72.8</v>
      </c>
      <c r="E4" s="80">
        <f>(C4-0.163*((D4-32)*5/9) + (0.5685 *((C4-0.163*((D4-32)*5/9)))/1000)) *EXP([1]Calc!$C$14/((M4+273.15)+((0.0065*64.6)/2)+(0.12*0.85*((6.112*EXP((17.67*M4)/(M4+243.5)))))))</f>
        <v>983.24174824774491</v>
      </c>
      <c r="F4" s="81">
        <v>8</v>
      </c>
      <c r="G4" s="82">
        <v>15</v>
      </c>
      <c r="H4" s="82">
        <f t="shared" ref="H4:H33" si="4">G4*0.7</f>
        <v>10.5</v>
      </c>
      <c r="I4" s="32">
        <v>6</v>
      </c>
      <c r="J4" s="83">
        <v>2</v>
      </c>
      <c r="K4" s="32">
        <v>2</v>
      </c>
      <c r="L4" s="84">
        <v>0</v>
      </c>
      <c r="M4" s="85">
        <v>10.5</v>
      </c>
      <c r="N4" s="85">
        <v>10.199999999999999</v>
      </c>
      <c r="O4" s="81">
        <f t="shared" si="1"/>
        <v>96.125372738960536</v>
      </c>
      <c r="P4" s="85">
        <f t="shared" si="2"/>
        <v>9.9088432920243985</v>
      </c>
      <c r="Q4" s="86"/>
      <c r="R4" s="85">
        <v>7.8</v>
      </c>
      <c r="S4" s="85">
        <v>9</v>
      </c>
      <c r="T4" s="85">
        <v>13.2</v>
      </c>
      <c r="U4" s="85">
        <v>6</v>
      </c>
      <c r="V4" s="85">
        <f t="shared" ref="V4:V33" si="5">AVERAGE(T4:U4)</f>
        <v>9.6</v>
      </c>
      <c r="W4" s="85">
        <v>2.9</v>
      </c>
      <c r="X4" s="85">
        <v>2.9</v>
      </c>
      <c r="Y4" s="87">
        <v>13</v>
      </c>
      <c r="Z4" s="88">
        <v>0.2</v>
      </c>
    </row>
    <row r="5" spans="1:26">
      <c r="A5" s="78">
        <f t="shared" si="3"/>
        <v>45294</v>
      </c>
      <c r="B5" s="79">
        <v>29.01</v>
      </c>
      <c r="C5" s="80">
        <f t="shared" si="0"/>
        <v>982.39115880000008</v>
      </c>
      <c r="D5" s="80">
        <v>73</v>
      </c>
      <c r="E5" s="80">
        <f>(C5-0.163*((D5-32)*5/9) + (0.5685 *((C5-0.163*((D5-32)*5/9)))/1000)) *EXP([1]Calc!$C$14/((M5+273.15)+((0.0065*64.6)/2)+(0.12*0.85*((6.112*EXP((17.67*M5)/(M5+243.5)))))))</f>
        <v>986.89259745815502</v>
      </c>
      <c r="F5" s="81">
        <v>8</v>
      </c>
      <c r="G5" s="82">
        <v>12</v>
      </c>
      <c r="H5" s="82">
        <f t="shared" si="4"/>
        <v>8.3999999999999986</v>
      </c>
      <c r="I5" s="32">
        <v>8</v>
      </c>
      <c r="J5" s="83">
        <v>2</v>
      </c>
      <c r="K5" s="32">
        <v>2</v>
      </c>
      <c r="L5" s="84">
        <v>0</v>
      </c>
      <c r="M5" s="85">
        <v>8.8000000000000007</v>
      </c>
      <c r="N5" s="85">
        <v>7.9</v>
      </c>
      <c r="O5" s="81">
        <f t="shared" si="1"/>
        <v>87.717046144980301</v>
      </c>
      <c r="P5" s="85">
        <f t="shared" si="2"/>
        <v>6.8759145510668409</v>
      </c>
      <c r="Q5" s="86"/>
      <c r="R5" s="85">
        <v>8.1</v>
      </c>
      <c r="S5" s="85">
        <v>9</v>
      </c>
      <c r="T5" s="85">
        <v>10.5</v>
      </c>
      <c r="U5" s="85">
        <v>8.1</v>
      </c>
      <c r="V5" s="85">
        <f t="shared" si="5"/>
        <v>9.3000000000000007</v>
      </c>
      <c r="W5" s="85">
        <v>5.7</v>
      </c>
      <c r="X5" s="85">
        <v>5.8</v>
      </c>
      <c r="Y5" s="87">
        <v>7.3</v>
      </c>
      <c r="Z5" s="88">
        <v>0</v>
      </c>
    </row>
    <row r="6" spans="1:26">
      <c r="A6" s="78">
        <f t="shared" si="3"/>
        <v>45295</v>
      </c>
      <c r="B6" s="79">
        <v>29.436</v>
      </c>
      <c r="C6" s="80">
        <f t="shared" si="0"/>
        <v>996.81717168</v>
      </c>
      <c r="D6" s="80">
        <v>73.2</v>
      </c>
      <c r="E6" s="80">
        <f>(C6-0.163*((D6-32)*5/9) + (0.5685 *((C6-0.163*((D6-32)*5/9)))/1000)) *EXP([1]Calc!$C$14/((M6+273.15)+((0.0065*64.6)/2)+(0.12*0.85*((6.112*EXP((17.67*M6)/(M6+243.5)))))))</f>
        <v>1001.5229602871121</v>
      </c>
      <c r="F6" s="81">
        <v>4</v>
      </c>
      <c r="G6" s="82">
        <v>10</v>
      </c>
      <c r="H6" s="82">
        <f t="shared" si="4"/>
        <v>7</v>
      </c>
      <c r="I6" s="32">
        <v>8</v>
      </c>
      <c r="J6" s="83">
        <v>2</v>
      </c>
      <c r="K6" s="32">
        <v>1</v>
      </c>
      <c r="L6" s="84">
        <v>0</v>
      </c>
      <c r="M6" s="85">
        <v>5.4</v>
      </c>
      <c r="N6" s="85">
        <v>5</v>
      </c>
      <c r="O6" s="81">
        <f t="shared" si="1"/>
        <v>93.687378071911382</v>
      </c>
      <c r="P6" s="85">
        <f t="shared" si="2"/>
        <v>4.4646557893995249</v>
      </c>
      <c r="Q6" s="86"/>
      <c r="R6" s="85">
        <v>7.9</v>
      </c>
      <c r="S6" s="85">
        <v>9</v>
      </c>
      <c r="T6" s="85">
        <v>7.3</v>
      </c>
      <c r="U6" s="85">
        <v>4.8</v>
      </c>
      <c r="V6" s="85">
        <f t="shared" si="5"/>
        <v>6.05</v>
      </c>
      <c r="W6" s="85">
        <v>1.8</v>
      </c>
      <c r="X6" s="85">
        <v>2</v>
      </c>
      <c r="Y6" s="87">
        <v>3.1</v>
      </c>
      <c r="Z6" s="88">
        <v>2.5</v>
      </c>
    </row>
    <row r="7" spans="1:26">
      <c r="A7" s="78">
        <f t="shared" si="3"/>
        <v>45296</v>
      </c>
      <c r="B7" s="79">
        <v>29.428000000000001</v>
      </c>
      <c r="C7" s="80">
        <f t="shared" si="0"/>
        <v>996.54626064000013</v>
      </c>
      <c r="D7" s="80">
        <v>72.3</v>
      </c>
      <c r="E7" s="80">
        <f>(C7-0.163*((D7-32)*5/9) + (0.5685 *((C7-0.163*((D7-32)*5/9)))/1000)) *EXP([1]Calc!$C$14/((M7+273.15)+((0.0065*64.6)/2)+(0.12*0.85*((6.112*EXP((17.67*M7)/(M7+243.5)))))))</f>
        <v>1001.3469791650092</v>
      </c>
      <c r="F7" s="81">
        <v>7</v>
      </c>
      <c r="G7" s="82">
        <v>11</v>
      </c>
      <c r="H7" s="82">
        <f t="shared" si="4"/>
        <v>7.6999999999999993</v>
      </c>
      <c r="I7" s="32">
        <v>8</v>
      </c>
      <c r="J7" s="83">
        <v>2</v>
      </c>
      <c r="K7" s="32">
        <v>1</v>
      </c>
      <c r="L7" s="84">
        <v>0</v>
      </c>
      <c r="M7" s="85">
        <v>4.9000000000000004</v>
      </c>
      <c r="N7" s="85">
        <v>4.4000000000000004</v>
      </c>
      <c r="O7" s="81">
        <f t="shared" si="1"/>
        <v>91.948222968694324</v>
      </c>
      <c r="P7" s="85">
        <f t="shared" si="2"/>
        <v>3.7019895635218139</v>
      </c>
      <c r="Q7" s="86"/>
      <c r="R7" s="85">
        <v>7</v>
      </c>
      <c r="S7" s="85">
        <v>9</v>
      </c>
      <c r="T7" s="85">
        <v>7.6</v>
      </c>
      <c r="U7" s="85">
        <v>4.0999999999999996</v>
      </c>
      <c r="V7" s="85">
        <f t="shared" si="5"/>
        <v>5.85</v>
      </c>
      <c r="W7" s="85">
        <v>2.4</v>
      </c>
      <c r="X7" s="85">
        <v>2.6</v>
      </c>
      <c r="Y7" s="87">
        <v>30.7</v>
      </c>
      <c r="Z7" s="88">
        <v>0</v>
      </c>
    </row>
    <row r="8" spans="1:26">
      <c r="A8" s="78">
        <f t="shared" si="3"/>
        <v>45297</v>
      </c>
      <c r="B8" s="79">
        <v>29.873999999999999</v>
      </c>
      <c r="C8" s="80">
        <f t="shared" si="0"/>
        <v>1011.64955112</v>
      </c>
      <c r="D8" s="80">
        <v>73</v>
      </c>
      <c r="E8" s="80">
        <f>(C8-0.163*((D8-32)*5/9) + (0.5685 *((C8-0.163*((D8-32)*5/9)))/1000)) *EXP([1]Calc!$C$14/((M8+273.15)+((0.0065*64.6)/2)+(0.12*0.85*((6.112*EXP((17.67*M8)/(M8+243.5)))))))</f>
        <v>1016.5118229006484</v>
      </c>
      <c r="F8" s="81">
        <v>7</v>
      </c>
      <c r="G8" s="82">
        <v>6</v>
      </c>
      <c r="H8" s="82">
        <f t="shared" si="4"/>
        <v>4.1999999999999993</v>
      </c>
      <c r="I8" s="32">
        <v>8</v>
      </c>
      <c r="J8" s="83">
        <v>2</v>
      </c>
      <c r="K8" s="32">
        <v>1</v>
      </c>
      <c r="L8" s="84">
        <v>0</v>
      </c>
      <c r="M8" s="85">
        <v>5</v>
      </c>
      <c r="N8" s="85">
        <v>4.0999999999999996</v>
      </c>
      <c r="O8" s="81">
        <f t="shared" si="1"/>
        <v>85.644837985953998</v>
      </c>
      <c r="P8" s="85">
        <f t="shared" si="2"/>
        <v>2.7956996637836182</v>
      </c>
      <c r="Q8" s="86"/>
      <c r="R8" s="85">
        <v>7</v>
      </c>
      <c r="S8" s="85">
        <v>8.9</v>
      </c>
      <c r="T8" s="85">
        <v>6.9</v>
      </c>
      <c r="U8" s="85">
        <v>4.5</v>
      </c>
      <c r="V8" s="85">
        <f t="shared" si="5"/>
        <v>5.7</v>
      </c>
      <c r="W8" s="85">
        <v>2.6</v>
      </c>
      <c r="X8" s="85">
        <v>2.5</v>
      </c>
      <c r="Y8" s="87">
        <v>0.1</v>
      </c>
      <c r="Z8" s="88">
        <v>0.8</v>
      </c>
    </row>
    <row r="9" spans="1:26">
      <c r="A9" s="78">
        <f t="shared" si="3"/>
        <v>45298</v>
      </c>
      <c r="B9" s="79">
        <v>30.196000000000002</v>
      </c>
      <c r="C9" s="80">
        <f t="shared" si="0"/>
        <v>1022.5537204800002</v>
      </c>
      <c r="D9" s="80">
        <v>72</v>
      </c>
      <c r="E9" s="80">
        <f>(C9-0.163*((D9-32)*5/9) + (0.5685 *((C9-0.163*((D9-32)*5/9)))/1000)) *EXP([1]Calc!$C$14/((M9+273.15)+((0.0065*64.6)/2)+(0.12*0.85*((6.112*EXP((17.67*M9)/(M9+243.5)))))))</f>
        <v>1027.6683460356983</v>
      </c>
      <c r="F9" s="81">
        <v>6</v>
      </c>
      <c r="G9" s="82">
        <v>9</v>
      </c>
      <c r="H9" s="82">
        <f t="shared" si="4"/>
        <v>6.3</v>
      </c>
      <c r="I9" s="32">
        <v>8</v>
      </c>
      <c r="J9" s="83">
        <v>2</v>
      </c>
      <c r="K9" s="32">
        <v>1</v>
      </c>
      <c r="L9" s="84">
        <v>0</v>
      </c>
      <c r="M9" s="85">
        <v>2.8</v>
      </c>
      <c r="N9" s="85">
        <v>1.5</v>
      </c>
      <c r="O9" s="81">
        <f t="shared" si="1"/>
        <v>77.228229732335123</v>
      </c>
      <c r="P9" s="85">
        <f t="shared" si="2"/>
        <v>-0.79018933333267227</v>
      </c>
      <c r="Q9" s="86"/>
      <c r="R9" s="85">
        <v>6.3</v>
      </c>
      <c r="S9" s="85">
        <v>8.8000000000000007</v>
      </c>
      <c r="T9" s="85">
        <v>4.2</v>
      </c>
      <c r="U9" s="85">
        <v>1</v>
      </c>
      <c r="V9" s="85">
        <f t="shared" si="5"/>
        <v>2.6</v>
      </c>
      <c r="W9" s="85">
        <v>-0.4</v>
      </c>
      <c r="X9" s="85">
        <v>-0.3</v>
      </c>
      <c r="Y9" s="87" t="s">
        <v>21</v>
      </c>
      <c r="Z9" s="88">
        <v>9.1999999999999993</v>
      </c>
    </row>
    <row r="10" spans="1:26">
      <c r="A10" s="78">
        <f t="shared" si="3"/>
        <v>45299</v>
      </c>
      <c r="B10" s="79">
        <v>30.382000000000001</v>
      </c>
      <c r="C10" s="80">
        <f t="shared" si="0"/>
        <v>1028.8524021600001</v>
      </c>
      <c r="D10" s="80">
        <v>70.599999999999994</v>
      </c>
      <c r="E10" s="80">
        <f>(C10-0.163*((D10-32)*5/9) + (0.5685 *((C10-0.163*((D10-32)*5/9)))/1000)) *EXP([1]Calc!$C$14/((M10+273.15)+((0.0065*64.6)/2)+(0.12*0.85*((6.112*EXP((17.67*M10)/(M10+243.5)))))))</f>
        <v>1034.1489007194866</v>
      </c>
      <c r="F10" s="81">
        <v>7</v>
      </c>
      <c r="G10" s="82">
        <v>0</v>
      </c>
      <c r="H10" s="82">
        <f t="shared" si="4"/>
        <v>0</v>
      </c>
      <c r="I10" s="32">
        <v>8</v>
      </c>
      <c r="J10" s="83">
        <v>2</v>
      </c>
      <c r="K10" s="32">
        <v>1</v>
      </c>
      <c r="L10" s="84">
        <v>0</v>
      </c>
      <c r="M10" s="85">
        <v>2.8</v>
      </c>
      <c r="N10" s="85">
        <v>0.3</v>
      </c>
      <c r="O10" s="81">
        <f t="shared" si="1"/>
        <v>56.831965016162577</v>
      </c>
      <c r="P10" s="85">
        <f t="shared" si="2"/>
        <v>-4.9173977270166782</v>
      </c>
      <c r="Q10" s="86"/>
      <c r="R10" s="85">
        <v>5.5</v>
      </c>
      <c r="S10" s="85">
        <v>8.6</v>
      </c>
      <c r="T10" s="85">
        <v>3.2</v>
      </c>
      <c r="U10" s="85">
        <v>0.8</v>
      </c>
      <c r="V10" s="85">
        <f t="shared" si="5"/>
        <v>2</v>
      </c>
      <c r="W10" s="85">
        <v>-1</v>
      </c>
      <c r="X10" s="85">
        <v>-1.4</v>
      </c>
      <c r="Y10" s="87" t="s">
        <v>21</v>
      </c>
      <c r="Z10" s="88">
        <v>0</v>
      </c>
    </row>
    <row r="11" spans="1:26">
      <c r="A11" s="78">
        <f t="shared" si="3"/>
        <v>45300</v>
      </c>
      <c r="B11" s="79">
        <v>30.35</v>
      </c>
      <c r="C11" s="80">
        <f t="shared" si="0"/>
        <v>1027.7687580000002</v>
      </c>
      <c r="D11" s="80">
        <v>69</v>
      </c>
      <c r="E11" s="80">
        <f>(C11-0.163*((D11-32)*5/9) + (0.5685 *((C11-0.163*((D11-32)*5/9)))/1000)) *EXP([1]Calc!$C$14/((M11+273.15)+((0.0065*64.6)/2)+(0.12*0.85*((6.112*EXP((17.67*M11)/(M11+243.5)))))))</f>
        <v>1033.2587421689889</v>
      </c>
      <c r="F11" s="81">
        <v>7</v>
      </c>
      <c r="G11" s="82">
        <v>11</v>
      </c>
      <c r="H11" s="82">
        <f t="shared" si="4"/>
        <v>7.6999999999999993</v>
      </c>
      <c r="I11" s="32">
        <v>8</v>
      </c>
      <c r="J11" s="83">
        <v>2</v>
      </c>
      <c r="K11" s="32">
        <v>1</v>
      </c>
      <c r="L11" s="84">
        <v>0</v>
      </c>
      <c r="M11" s="85">
        <v>1</v>
      </c>
      <c r="N11" s="85">
        <v>0.1</v>
      </c>
      <c r="O11" s="81">
        <f t="shared" si="1"/>
        <v>82.746431381838605</v>
      </c>
      <c r="P11" s="85">
        <f t="shared" si="2"/>
        <v>-1.6033267340716566</v>
      </c>
      <c r="Q11" s="86"/>
      <c r="R11" s="85">
        <v>5</v>
      </c>
      <c r="S11" s="85">
        <v>8.4</v>
      </c>
      <c r="T11" s="85">
        <v>3.2</v>
      </c>
      <c r="U11" s="85">
        <v>0.8</v>
      </c>
      <c r="V11" s="85">
        <f t="shared" si="5"/>
        <v>2</v>
      </c>
      <c r="W11" s="85">
        <v>0.3</v>
      </c>
      <c r="X11" s="85">
        <v>0.1</v>
      </c>
      <c r="Y11" s="87">
        <v>0</v>
      </c>
      <c r="Z11" s="88">
        <v>6.5</v>
      </c>
    </row>
    <row r="12" spans="1:26">
      <c r="A12" s="78">
        <f t="shared" si="3"/>
        <v>45301</v>
      </c>
      <c r="B12" s="79">
        <v>30.33</v>
      </c>
      <c r="C12" s="80">
        <f t="shared" si="0"/>
        <v>1027.0914803999999</v>
      </c>
      <c r="D12" s="80">
        <v>68</v>
      </c>
      <c r="E12" s="80">
        <f>(C12-0.163*((D12-32)*5/9) + (0.5685 *((C12-0.163*((D12-32)*5/9)))/1000)) *EXP([1]Calc!$C$14/((M12+273.15)+((0.0065*64.6)/2)+(0.12*0.85*((6.112*EXP((17.67*M12)/(M12+243.5)))))))</f>
        <v>1032.6574885990947</v>
      </c>
      <c r="F12" s="81">
        <v>0</v>
      </c>
      <c r="G12" s="82">
        <v>11</v>
      </c>
      <c r="H12" s="82">
        <f t="shared" si="4"/>
        <v>7.6999999999999993</v>
      </c>
      <c r="I12" s="32">
        <v>8</v>
      </c>
      <c r="J12" s="83">
        <v>2</v>
      </c>
      <c r="K12" s="32">
        <v>4</v>
      </c>
      <c r="L12" s="84">
        <v>0</v>
      </c>
      <c r="M12" s="85">
        <v>1.3</v>
      </c>
      <c r="N12" s="85">
        <v>0.6</v>
      </c>
      <c r="O12" s="81">
        <f t="shared" si="1"/>
        <v>86.742981159861259</v>
      </c>
      <c r="P12" s="85">
        <f t="shared" si="2"/>
        <v>-0.66494333360109181</v>
      </c>
      <c r="Q12" s="86"/>
      <c r="R12" s="85">
        <v>4.0999999999999996</v>
      </c>
      <c r="S12" s="85">
        <v>8.1999999999999993</v>
      </c>
      <c r="T12" s="85">
        <v>4.7</v>
      </c>
      <c r="U12" s="85">
        <v>0.2</v>
      </c>
      <c r="V12" s="85">
        <f>AVERAGE(T12:U12)</f>
        <v>2.4500000000000002</v>
      </c>
      <c r="W12" s="85">
        <v>-2.5</v>
      </c>
      <c r="X12" s="85">
        <v>-2.6</v>
      </c>
      <c r="Y12" s="87">
        <v>0</v>
      </c>
      <c r="Z12" s="88">
        <v>7.7</v>
      </c>
    </row>
    <row r="13" spans="1:26">
      <c r="A13" s="78">
        <f t="shared" si="3"/>
        <v>45302</v>
      </c>
      <c r="B13" s="79">
        <v>30.521999999999998</v>
      </c>
      <c r="C13" s="80">
        <f t="shared" si="0"/>
        <v>1033.5933453600001</v>
      </c>
      <c r="D13" s="80">
        <v>68</v>
      </c>
      <c r="E13" s="80">
        <f>(C13-0.163*((D13-32)*5/9) + (0.5685 *((C13-0.163*((D13-32)*5/9)))/1000)) *EXP([1]Calc!$C$14/((M13+273.15)+((0.0065*64.6)/2)+(0.12*0.85*((6.112*EXP((17.67*M13)/(M13+243.5)))))))</f>
        <v>1039.1932221061049</v>
      </c>
      <c r="F13" s="81">
        <v>7</v>
      </c>
      <c r="G13" s="82">
        <v>12</v>
      </c>
      <c r="H13" s="82">
        <f t="shared" si="4"/>
        <v>8.3999999999999986</v>
      </c>
      <c r="I13" s="32">
        <v>8</v>
      </c>
      <c r="J13" s="83">
        <v>3</v>
      </c>
      <c r="K13" s="32">
        <v>4</v>
      </c>
      <c r="L13" s="84">
        <v>0</v>
      </c>
      <c r="M13" s="85">
        <v>2</v>
      </c>
      <c r="N13" s="85">
        <v>1.5</v>
      </c>
      <c r="O13" s="81">
        <f t="shared" si="1"/>
        <v>90.819383352778644</v>
      </c>
      <c r="P13" s="85">
        <f t="shared" si="2"/>
        <v>0.65846331921251555</v>
      </c>
      <c r="Q13" s="86"/>
      <c r="R13" s="85">
        <v>4</v>
      </c>
      <c r="S13" s="85">
        <v>8.1</v>
      </c>
      <c r="T13" s="85">
        <v>5.5</v>
      </c>
      <c r="U13" s="85">
        <v>0.1</v>
      </c>
      <c r="V13" s="85">
        <f t="shared" si="5"/>
        <v>2.8</v>
      </c>
      <c r="W13" s="85">
        <v>-3.8</v>
      </c>
      <c r="X13" s="85">
        <v>-3.7</v>
      </c>
      <c r="Y13" s="87">
        <v>0</v>
      </c>
      <c r="Z13" s="88">
        <v>0.4</v>
      </c>
    </row>
    <row r="14" spans="1:26">
      <c r="A14" s="78">
        <f t="shared" si="3"/>
        <v>45303</v>
      </c>
      <c r="B14" s="79">
        <v>30.46</v>
      </c>
      <c r="C14" s="80">
        <f t="shared" si="0"/>
        <v>1031.4937848000002</v>
      </c>
      <c r="D14" s="80">
        <v>69</v>
      </c>
      <c r="E14" s="80">
        <f>(C14-0.163*((D14-32)*5/9) + (0.5685 *((C14-0.163*((D14-32)*5/9)))/1000)) *EXP([1]Calc!$C$14/((M14+273.15)+((0.0065*64.6)/2)+(0.12*0.85*((6.112*EXP((17.67*M14)/(M14+243.5)))))))</f>
        <v>1036.8995408374326</v>
      </c>
      <c r="F14" s="81">
        <v>7</v>
      </c>
      <c r="G14" s="82">
        <v>6</v>
      </c>
      <c r="H14" s="82">
        <f t="shared" si="4"/>
        <v>4.1999999999999993</v>
      </c>
      <c r="I14" s="32">
        <v>7</v>
      </c>
      <c r="J14" s="83">
        <v>2</v>
      </c>
      <c r="K14" s="32">
        <v>1</v>
      </c>
      <c r="L14" s="84">
        <v>0</v>
      </c>
      <c r="M14" s="85">
        <v>4.7</v>
      </c>
      <c r="N14" s="85">
        <v>4</v>
      </c>
      <c r="O14" s="81">
        <f t="shared" si="1"/>
        <v>88.658580502260548</v>
      </c>
      <c r="P14" s="85">
        <f t="shared" si="2"/>
        <v>2.9883792121652877</v>
      </c>
      <c r="Q14" s="86"/>
      <c r="R14" s="85">
        <v>3.8</v>
      </c>
      <c r="S14" s="85">
        <v>7.7</v>
      </c>
      <c r="T14" s="85">
        <v>5.5</v>
      </c>
      <c r="U14" s="85">
        <v>1.8</v>
      </c>
      <c r="V14" s="85">
        <f t="shared" si="5"/>
        <v>3.65</v>
      </c>
      <c r="W14" s="85">
        <v>0</v>
      </c>
      <c r="X14" s="85">
        <v>-0.2</v>
      </c>
      <c r="Y14" s="87">
        <v>0</v>
      </c>
      <c r="Z14" s="88">
        <v>0</v>
      </c>
    </row>
    <row r="15" spans="1:26">
      <c r="A15" s="78">
        <f t="shared" si="3"/>
        <v>45304</v>
      </c>
      <c r="B15" s="79">
        <v>30.35</v>
      </c>
      <c r="C15" s="80">
        <f t="shared" si="0"/>
        <v>1027.7687580000002</v>
      </c>
      <c r="D15" s="80">
        <v>68.400000000000006</v>
      </c>
      <c r="E15" s="80">
        <f>(C15-0.163*((D15-32)*5/9) + (0.5685 *((C15-0.163*((D15-32)*5/9)))/1000)) *EXP([1]Calc!$C$14/((M15+273.15)+((0.0065*64.6)/2)+(0.12*0.85*((6.112*EXP((17.67*M15)/(M15+243.5)))))))</f>
        <v>1033.2977615151315</v>
      </c>
      <c r="F15" s="81">
        <v>8</v>
      </c>
      <c r="G15" s="82">
        <v>2</v>
      </c>
      <c r="H15" s="82">
        <f t="shared" si="4"/>
        <v>1.4</v>
      </c>
      <c r="I15" s="32">
        <v>7</v>
      </c>
      <c r="J15" s="83">
        <v>2</v>
      </c>
      <c r="K15" s="32">
        <v>1</v>
      </c>
      <c r="L15" s="84">
        <v>0</v>
      </c>
      <c r="M15" s="85">
        <v>1.5</v>
      </c>
      <c r="N15" s="85">
        <v>1.2</v>
      </c>
      <c r="O15" s="81">
        <f t="shared" si="1"/>
        <v>94.345881694161449</v>
      </c>
      <c r="P15" s="85">
        <f t="shared" si="2"/>
        <v>0.69071435972191564</v>
      </c>
      <c r="Q15" s="86"/>
      <c r="R15" s="85">
        <v>4.5</v>
      </c>
      <c r="S15" s="85">
        <v>7.4</v>
      </c>
      <c r="T15" s="85">
        <v>4.5</v>
      </c>
      <c r="U15" s="85">
        <v>0.6</v>
      </c>
      <c r="V15" s="85">
        <f t="shared" si="5"/>
        <v>2.5499999999999998</v>
      </c>
      <c r="W15" s="85">
        <v>0.6</v>
      </c>
      <c r="X15" s="85">
        <v>0.9</v>
      </c>
      <c r="Y15" s="87">
        <v>0</v>
      </c>
      <c r="Z15" s="32">
        <v>1.4</v>
      </c>
    </row>
    <row r="16" spans="1:26">
      <c r="A16" s="78">
        <f t="shared" si="3"/>
        <v>45305</v>
      </c>
      <c r="B16" s="79">
        <v>29.821999999999999</v>
      </c>
      <c r="C16" s="80">
        <f t="shared" si="0"/>
        <v>1009.88862936</v>
      </c>
      <c r="D16" s="80">
        <v>68.599999999999994</v>
      </c>
      <c r="E16" s="80">
        <f>(C16-0.163*((D16-32)*5/9) + (0.5685 *((C16-0.163*((D16-32)*5/9)))/1000)) *EXP([1]Calc!$C$14/((M16+273.15)+((0.0065*64.6)/2)+(0.12*0.85*((6.112*EXP((17.67*M16)/(M16+243.5)))))))</f>
        <v>1015.2144317538242</v>
      </c>
      <c r="F16" s="81">
        <v>7</v>
      </c>
      <c r="G16" s="82">
        <v>3</v>
      </c>
      <c r="H16" s="82">
        <f t="shared" si="4"/>
        <v>2.0999999999999996</v>
      </c>
      <c r="I16" s="32">
        <v>7</v>
      </c>
      <c r="J16" s="83">
        <v>2</v>
      </c>
      <c r="K16" s="32">
        <v>1</v>
      </c>
      <c r="L16" s="84">
        <v>0</v>
      </c>
      <c r="M16" s="85">
        <v>2.5</v>
      </c>
      <c r="N16" s="85">
        <v>2.1</v>
      </c>
      <c r="O16" s="81">
        <f t="shared" si="1"/>
        <v>92.816577021913517</v>
      </c>
      <c r="P16" s="85">
        <f t="shared" si="2"/>
        <v>1.4559873399838981</v>
      </c>
      <c r="Q16" s="86"/>
      <c r="R16" s="85">
        <v>4.5</v>
      </c>
      <c r="S16" s="85">
        <v>7.4</v>
      </c>
      <c r="T16" s="85">
        <v>6.9</v>
      </c>
      <c r="U16" s="85">
        <v>1.4</v>
      </c>
      <c r="V16" s="85">
        <f t="shared" si="5"/>
        <v>4.1500000000000004</v>
      </c>
      <c r="W16" s="85">
        <v>-2.5</v>
      </c>
      <c r="X16" s="85">
        <v>-0.7</v>
      </c>
      <c r="Y16" s="87">
        <v>0</v>
      </c>
      <c r="Z16" s="88">
        <v>1.75</v>
      </c>
    </row>
    <row r="17" spans="1:26">
      <c r="A17" s="78">
        <f t="shared" si="3"/>
        <v>45306</v>
      </c>
      <c r="B17" s="79">
        <v>29.716000000000001</v>
      </c>
      <c r="C17" s="80">
        <f t="shared" si="0"/>
        <v>1006.2990580800001</v>
      </c>
      <c r="D17" s="80">
        <v>67.2</v>
      </c>
      <c r="E17" s="80">
        <f>(C17-0.163*((D17-32)*5/9) + (0.5685 *((C17-0.163*((D17-32)*5/9)))/1000)) *EXP([1]Calc!$C$14/((M17+273.15)+((0.0065*64.6)/2)+(0.12*0.85*((6.112*EXP((17.67*M17)/(M17+243.5)))))))</f>
        <v>1011.7991871369317</v>
      </c>
      <c r="F17" s="81">
        <v>3</v>
      </c>
      <c r="G17" s="82">
        <v>8</v>
      </c>
      <c r="H17" s="82">
        <f t="shared" si="4"/>
        <v>5.6</v>
      </c>
      <c r="I17" s="32">
        <v>8</v>
      </c>
      <c r="J17" s="83">
        <v>2</v>
      </c>
      <c r="K17" s="32">
        <v>4</v>
      </c>
      <c r="L17" s="84">
        <v>0</v>
      </c>
      <c r="M17" s="85">
        <v>0</v>
      </c>
      <c r="N17" s="85">
        <v>-0.7</v>
      </c>
      <c r="O17" s="81">
        <f t="shared" si="1"/>
        <v>85.213233044002294</v>
      </c>
      <c r="P17" s="85">
        <f t="shared" si="2"/>
        <v>-1.927786630741694</v>
      </c>
      <c r="Q17" s="86"/>
      <c r="R17" s="85">
        <v>4.4000000000000004</v>
      </c>
      <c r="S17" s="85">
        <v>7.3</v>
      </c>
      <c r="T17" s="85">
        <v>3.1</v>
      </c>
      <c r="U17" s="85">
        <v>-1.1000000000000001</v>
      </c>
      <c r="V17" s="85">
        <f t="shared" si="5"/>
        <v>1</v>
      </c>
      <c r="W17" s="85">
        <v>-5</v>
      </c>
      <c r="X17" s="85">
        <v>-3.9</v>
      </c>
      <c r="Y17" s="87" t="s">
        <v>21</v>
      </c>
      <c r="Z17" s="88">
        <v>6.5</v>
      </c>
    </row>
    <row r="18" spans="1:26">
      <c r="A18" s="78">
        <f t="shared" si="3"/>
        <v>45307</v>
      </c>
      <c r="B18" s="79">
        <v>29.672000000000001</v>
      </c>
      <c r="C18" s="80">
        <f t="shared" si="0"/>
        <v>1004.80904736</v>
      </c>
      <c r="D18" s="80">
        <v>67.7</v>
      </c>
      <c r="E18" s="80">
        <f>(C18-0.163*((D18-32)*5/9) + (0.5685 *((C18-0.163*((D18-32)*5/9)))/1000)) *EXP([1]Calc!$C$14/((M18+273.15)+((0.0065*64.6)/2)+(0.12*0.85*((6.112*EXP((17.67*M18)/(M18+243.5)))))))</f>
        <v>1010.275486852551</v>
      </c>
      <c r="F18" s="81">
        <v>7</v>
      </c>
      <c r="G18" s="82">
        <v>0</v>
      </c>
      <c r="H18" s="82">
        <f t="shared" si="4"/>
        <v>0</v>
      </c>
      <c r="I18" s="32">
        <v>8</v>
      </c>
      <c r="J18" s="83">
        <v>2</v>
      </c>
      <c r="K18" s="32">
        <v>4</v>
      </c>
      <c r="L18" s="84">
        <v>0</v>
      </c>
      <c r="M18" s="85">
        <v>-0.8</v>
      </c>
      <c r="N18" s="85">
        <v>-1</v>
      </c>
      <c r="O18" s="81">
        <f t="shared" si="1"/>
        <v>95.55628003817958</v>
      </c>
      <c r="P18" s="85">
        <f t="shared" si="2"/>
        <v>-1.3471883443196209</v>
      </c>
      <c r="Q18" s="86"/>
      <c r="R18" s="85">
        <v>3.3</v>
      </c>
      <c r="S18" s="85">
        <v>7.2</v>
      </c>
      <c r="T18" s="85">
        <v>5.3</v>
      </c>
      <c r="U18" s="85">
        <v>-3.1</v>
      </c>
      <c r="V18" s="85">
        <f t="shared" si="5"/>
        <v>1.0999999999999999</v>
      </c>
      <c r="W18" s="85">
        <v>-6.5</v>
      </c>
      <c r="X18" s="85">
        <v>-4.8</v>
      </c>
      <c r="Y18" s="87">
        <v>0</v>
      </c>
      <c r="Z18" s="88">
        <v>4.0999999999999996</v>
      </c>
    </row>
    <row r="19" spans="1:26">
      <c r="A19" s="78">
        <f t="shared" si="3"/>
        <v>45308</v>
      </c>
      <c r="B19" s="79">
        <v>29.17</v>
      </c>
      <c r="C19" s="80">
        <f t="shared" si="0"/>
        <v>987.80937960000006</v>
      </c>
      <c r="D19" s="80">
        <v>67.8</v>
      </c>
      <c r="E19" s="80">
        <f>(C19-0.163*((D19-32)*5/9) + (0.5685 *((C19-0.163*((D19-32)*5/9)))/1000)) *EXP([1]Calc!$C$14/((M19+273.15)+((0.0065*64.6)/2)+(0.12*0.85*((6.112*EXP((17.67*M19)/(M19+243.5)))))))</f>
        <v>993.11290820115391</v>
      </c>
      <c r="F19" s="81">
        <v>8</v>
      </c>
      <c r="G19" s="82">
        <v>2</v>
      </c>
      <c r="H19" s="82">
        <f t="shared" si="4"/>
        <v>1.4</v>
      </c>
      <c r="I19" s="32">
        <v>8</v>
      </c>
      <c r="J19" s="83">
        <v>2</v>
      </c>
      <c r="K19" s="32">
        <v>4</v>
      </c>
      <c r="L19" s="84">
        <v>0</v>
      </c>
      <c r="M19" s="85">
        <v>-0.6</v>
      </c>
      <c r="N19" s="85">
        <v>-1</v>
      </c>
      <c r="O19" s="81">
        <f t="shared" si="1"/>
        <v>91.233953809251872</v>
      </c>
      <c r="P19" s="85">
        <f t="shared" si="2"/>
        <v>-1.7037708132308427</v>
      </c>
      <c r="Q19" s="86"/>
      <c r="R19" s="85">
        <v>2.8</v>
      </c>
      <c r="S19" s="85">
        <v>7</v>
      </c>
      <c r="T19" s="85">
        <v>1.7</v>
      </c>
      <c r="U19" s="85">
        <v>-2.2000000000000002</v>
      </c>
      <c r="V19" s="85">
        <f t="shared" si="5"/>
        <v>-0.25000000000000011</v>
      </c>
      <c r="W19" s="85">
        <v>-6.1</v>
      </c>
      <c r="X19" s="85">
        <v>-4.7</v>
      </c>
      <c r="Y19" s="87">
        <v>0</v>
      </c>
      <c r="Z19" s="88">
        <v>0</v>
      </c>
    </row>
    <row r="20" spans="1:26">
      <c r="A20" s="78">
        <f t="shared" si="3"/>
        <v>45309</v>
      </c>
      <c r="B20" s="79">
        <v>29.55</v>
      </c>
      <c r="C20" s="80">
        <f t="shared" si="0"/>
        <v>1000.6776540000001</v>
      </c>
      <c r="D20" s="80">
        <v>66.2</v>
      </c>
      <c r="E20" s="80">
        <f>(C20-0.163*((D20-32)*5/9) + (0.5685 *((C20-0.163*((D20-32)*5/9)))/1000)) *EXP([1]Calc!$C$14/((M20+273.15)+((0.0065*64.6)/2)+(0.12*0.85*((6.112*EXP((17.67*M20)/(M20+243.5)))))))</f>
        <v>1006.3453864617076</v>
      </c>
      <c r="F20" s="81">
        <v>0</v>
      </c>
      <c r="G20" s="82">
        <v>3</v>
      </c>
      <c r="H20" s="82">
        <f t="shared" si="4"/>
        <v>2.0999999999999996</v>
      </c>
      <c r="I20" s="32">
        <v>8</v>
      </c>
      <c r="J20" s="83">
        <v>2</v>
      </c>
      <c r="K20" s="32">
        <v>4</v>
      </c>
      <c r="L20" s="84">
        <v>0</v>
      </c>
      <c r="M20" s="85">
        <v>-4</v>
      </c>
      <c r="N20" s="85">
        <v>-4.2</v>
      </c>
      <c r="O20" s="81">
        <f t="shared" si="1"/>
        <v>94.655588693615002</v>
      </c>
      <c r="P20" s="85">
        <f t="shared" si="2"/>
        <v>-4.6454879973279635</v>
      </c>
      <c r="Q20" s="86"/>
      <c r="R20" s="85">
        <v>2.5</v>
      </c>
      <c r="S20" s="85">
        <v>6.7</v>
      </c>
      <c r="T20" s="85">
        <v>2.7</v>
      </c>
      <c r="U20" s="85">
        <v>-5.2</v>
      </c>
      <c r="V20" s="85">
        <f t="shared" si="5"/>
        <v>-1.25</v>
      </c>
      <c r="W20" s="85">
        <v>-7.7</v>
      </c>
      <c r="X20" s="85">
        <v>-7.8</v>
      </c>
      <c r="Y20" s="87">
        <v>0</v>
      </c>
      <c r="Z20" s="88">
        <v>8.1</v>
      </c>
    </row>
    <row r="21" spans="1:26">
      <c r="A21" s="78">
        <f t="shared" si="3"/>
        <v>45310</v>
      </c>
      <c r="B21" s="79">
        <v>30.027999999999999</v>
      </c>
      <c r="C21" s="80">
        <f t="shared" si="0"/>
        <v>1016.86458864</v>
      </c>
      <c r="D21" s="80">
        <v>67.7</v>
      </c>
      <c r="E21" s="80">
        <f>(C21-0.163*((D21-32)*5/9) + (0.5685 *((C21-0.163*((D21-32)*5/9)))/1000)) *EXP([1]Calc!$C$14/((M21+273.15)+((0.0065*64.6)/2)+(0.12*0.85*((6.112*EXP((17.67*M21)/(M21+243.5)))))))</f>
        <v>1022.4705315012488</v>
      </c>
      <c r="F21" s="81">
        <v>0</v>
      </c>
      <c r="G21" s="82">
        <v>9</v>
      </c>
      <c r="H21" s="82">
        <f t="shared" si="4"/>
        <v>6.3</v>
      </c>
      <c r="I21" s="32">
        <v>8</v>
      </c>
      <c r="J21" s="83">
        <v>2</v>
      </c>
      <c r="K21" s="32">
        <v>4</v>
      </c>
      <c r="L21" s="84">
        <v>0</v>
      </c>
      <c r="M21" s="85">
        <v>-1.9</v>
      </c>
      <c r="N21" s="89">
        <v>-2.4</v>
      </c>
      <c r="O21" s="90">
        <f t="shared" si="1"/>
        <v>88.233766983750002</v>
      </c>
      <c r="P21" s="85">
        <f t="shared" si="2"/>
        <v>-3.3895585221716535</v>
      </c>
      <c r="Q21" s="86"/>
      <c r="R21" s="85">
        <v>2.2000000000000002</v>
      </c>
      <c r="S21" s="85">
        <v>6.6</v>
      </c>
      <c r="T21" s="85">
        <v>5.7</v>
      </c>
      <c r="U21" s="85">
        <v>-4</v>
      </c>
      <c r="V21" s="85">
        <f t="shared" si="5"/>
        <v>0.85000000000000009</v>
      </c>
      <c r="W21" s="85">
        <v>-7.8</v>
      </c>
      <c r="X21" s="85">
        <v>-6.2</v>
      </c>
      <c r="Y21" s="87">
        <v>0</v>
      </c>
      <c r="Z21" s="88">
        <v>6.7</v>
      </c>
    </row>
    <row r="22" spans="1:26">
      <c r="A22" s="78">
        <f t="shared" si="3"/>
        <v>45311</v>
      </c>
      <c r="B22" s="79">
        <v>30</v>
      </c>
      <c r="C22" s="80">
        <f t="shared" si="0"/>
        <v>1015.9164000000001</v>
      </c>
      <c r="D22" s="80">
        <v>67.8</v>
      </c>
      <c r="E22" s="80">
        <f>(C22-0.163*((D22-32)*5/9) + (0.5685 *((C22-0.163*((D22-32)*5/9)))/1000)) *EXP([1]Calc!$C$14/((M22+273.15)+((0.0065*64.6)/2)+(0.12*0.85*((6.112*EXP((17.67*M22)/(M22+243.5)))))))</f>
        <v>1021.323708691488</v>
      </c>
      <c r="F22" s="81">
        <v>8</v>
      </c>
      <c r="G22" s="82">
        <v>18</v>
      </c>
      <c r="H22" s="82">
        <f t="shared" si="4"/>
        <v>12.6</v>
      </c>
      <c r="I22" s="32">
        <v>8</v>
      </c>
      <c r="J22" s="83">
        <v>2</v>
      </c>
      <c r="K22" s="32">
        <v>1</v>
      </c>
      <c r="L22" s="84">
        <v>0</v>
      </c>
      <c r="M22" s="85">
        <v>3.9</v>
      </c>
      <c r="N22" s="85">
        <v>2</v>
      </c>
      <c r="O22" s="81">
        <f t="shared" si="1"/>
        <v>68.583777103025028</v>
      </c>
      <c r="P22" s="85">
        <f t="shared" si="2"/>
        <v>-1.3507359473649907</v>
      </c>
      <c r="Q22" s="86"/>
      <c r="R22" s="85">
        <v>2</v>
      </c>
      <c r="S22" s="85">
        <v>6.4</v>
      </c>
      <c r="T22" s="85">
        <v>9.4</v>
      </c>
      <c r="U22" s="85">
        <v>-1.9</v>
      </c>
      <c r="V22" s="85">
        <f t="shared" si="5"/>
        <v>3.75</v>
      </c>
      <c r="W22" s="85">
        <v>-5.5</v>
      </c>
      <c r="X22" s="85">
        <v>-4.4000000000000004</v>
      </c>
      <c r="Y22" s="87">
        <v>5.3</v>
      </c>
      <c r="Z22" s="88">
        <v>0</v>
      </c>
    </row>
    <row r="23" spans="1:26">
      <c r="A23" s="78">
        <f t="shared" si="3"/>
        <v>45312</v>
      </c>
      <c r="B23" s="79">
        <v>29.684000000000001</v>
      </c>
      <c r="C23" s="80">
        <f t="shared" si="0"/>
        <v>1005.2154139200001</v>
      </c>
      <c r="D23" s="80">
        <v>67.599999999999994</v>
      </c>
      <c r="E23" s="80">
        <f>(C23-0.163*((D23-32)*5/9) + (0.5685 *((C23-0.163*((D23-32)*5/9)))/1000)) *EXP([1]Calc!$C$14/((M23+273.15)+((0.0065*64.6)/2)+(0.12*0.85*((6.112*EXP((17.67*M23)/(M23+243.5)))))))</f>
        <v>1010.3835727566643</v>
      </c>
      <c r="F23" s="81">
        <v>8</v>
      </c>
      <c r="G23" s="82">
        <v>12</v>
      </c>
      <c r="H23" s="82">
        <f t="shared" si="4"/>
        <v>8.3999999999999986</v>
      </c>
      <c r="I23" s="32">
        <v>8</v>
      </c>
      <c r="J23" s="83">
        <v>2</v>
      </c>
      <c r="K23" s="32">
        <v>1</v>
      </c>
      <c r="L23" s="84">
        <v>0</v>
      </c>
      <c r="M23" s="85">
        <v>9.4</v>
      </c>
      <c r="N23" s="85">
        <v>8.1999999999999993</v>
      </c>
      <c r="O23" s="81">
        <f t="shared" si="1"/>
        <v>84.06472826496011</v>
      </c>
      <c r="P23" s="85">
        <f t="shared" si="2"/>
        <v>6.8457639808015385</v>
      </c>
      <c r="Q23" s="86"/>
      <c r="R23" s="85">
        <v>2</v>
      </c>
      <c r="S23" s="85">
        <v>6.3</v>
      </c>
      <c r="T23" s="85">
        <v>12.8</v>
      </c>
      <c r="U23" s="85">
        <v>3.5</v>
      </c>
      <c r="V23" s="85">
        <f t="shared" si="5"/>
        <v>8.15</v>
      </c>
      <c r="W23" s="85">
        <v>0.5</v>
      </c>
      <c r="X23" s="85">
        <v>1.6</v>
      </c>
      <c r="Y23" s="87">
        <v>11.7</v>
      </c>
      <c r="Z23" s="88">
        <v>0.8</v>
      </c>
    </row>
    <row r="24" spans="1:26">
      <c r="A24" s="78">
        <f t="shared" si="3"/>
        <v>45313</v>
      </c>
      <c r="B24" s="79">
        <v>29.591999999999999</v>
      </c>
      <c r="C24" s="80">
        <f t="shared" si="0"/>
        <v>1002.09993696</v>
      </c>
      <c r="D24" s="80">
        <v>68.8</v>
      </c>
      <c r="E24" s="80">
        <f>(C24-0.163*((D24-32)*5/9) + (0.5685 *((C24-0.163*((D24-32)*5/9)))/1000)) *EXP([1]Calc!$C$14/((M24+273.15)+((0.0065*64.6)/2)+(0.12*0.85*((6.112*EXP((17.67*M24)/(M24+243.5)))))))</f>
        <v>1007.1682502397337</v>
      </c>
      <c r="F24" s="81">
        <v>2</v>
      </c>
      <c r="G24" s="82">
        <v>20</v>
      </c>
      <c r="H24" s="82">
        <f t="shared" si="4"/>
        <v>14</v>
      </c>
      <c r="I24" s="32">
        <v>8</v>
      </c>
      <c r="J24" s="83">
        <v>2</v>
      </c>
      <c r="K24" s="32">
        <v>1</v>
      </c>
      <c r="L24" s="84">
        <v>0</v>
      </c>
      <c r="M24" s="85">
        <v>8.1999999999999993</v>
      </c>
      <c r="N24" s="85">
        <v>6.7</v>
      </c>
      <c r="O24" s="81">
        <f t="shared" si="1"/>
        <v>79.218690471193383</v>
      </c>
      <c r="P24" s="85">
        <f t="shared" si="2"/>
        <v>4.8160035533244425</v>
      </c>
      <c r="Q24" s="86"/>
      <c r="R24" s="85">
        <v>2.9</v>
      </c>
      <c r="S24" s="85">
        <v>6</v>
      </c>
      <c r="T24" s="85">
        <v>10.199999999999999</v>
      </c>
      <c r="U24" s="85">
        <v>7.7</v>
      </c>
      <c r="V24" s="85">
        <f t="shared" si="5"/>
        <v>8.9499999999999993</v>
      </c>
      <c r="W24" s="85">
        <v>5.2</v>
      </c>
      <c r="X24" s="85">
        <v>4.3</v>
      </c>
      <c r="Y24" s="87">
        <v>0.3</v>
      </c>
      <c r="Z24" s="88">
        <v>6.5</v>
      </c>
    </row>
    <row r="25" spans="1:26">
      <c r="A25" s="78">
        <f t="shared" si="3"/>
        <v>45314</v>
      </c>
      <c r="B25" s="79">
        <v>30.013999999999999</v>
      </c>
      <c r="C25" s="80">
        <f t="shared" si="0"/>
        <v>1016.39049432</v>
      </c>
      <c r="D25" s="80">
        <v>70.2</v>
      </c>
      <c r="E25" s="80">
        <f>(C25-0.163*((D25-32)*5/9) + (0.5685 *((C25-0.163*((D25-32)*5/9)))/1000)) *EXP([1]Calc!$C$14/((M25+273.15)+((0.0065*64.6)/2)+(0.12*0.85*((6.112*EXP((17.67*M25)/(M25+243.5)))))))</f>
        <v>1021.4693848701709</v>
      </c>
      <c r="F25" s="81">
        <v>8</v>
      </c>
      <c r="G25" s="82">
        <v>10</v>
      </c>
      <c r="H25" s="82">
        <f t="shared" si="4"/>
        <v>7</v>
      </c>
      <c r="I25" s="32">
        <v>6</v>
      </c>
      <c r="J25" s="83">
        <v>2</v>
      </c>
      <c r="K25" s="32">
        <v>2</v>
      </c>
      <c r="L25" s="84">
        <v>0</v>
      </c>
      <c r="M25" s="85">
        <v>7.6</v>
      </c>
      <c r="N25" s="85">
        <v>7.1</v>
      </c>
      <c r="O25" s="81">
        <f t="shared" si="1"/>
        <v>92.805325789865478</v>
      </c>
      <c r="P25" s="85">
        <f t="shared" si="2"/>
        <v>6.5105848815107521</v>
      </c>
      <c r="Q25" s="86"/>
      <c r="R25" s="85">
        <v>3.4</v>
      </c>
      <c r="S25" s="85">
        <v>5.8</v>
      </c>
      <c r="T25" s="85">
        <v>13.4</v>
      </c>
      <c r="U25" s="85">
        <v>4.5999999999999996</v>
      </c>
      <c r="V25" s="85">
        <f t="shared" si="5"/>
        <v>9</v>
      </c>
      <c r="W25" s="85">
        <v>-0.8</v>
      </c>
      <c r="X25" s="85">
        <v>-0.1</v>
      </c>
      <c r="Y25" s="87">
        <v>1.8</v>
      </c>
      <c r="Z25" s="88">
        <v>0</v>
      </c>
    </row>
    <row r="26" spans="1:26">
      <c r="A26" s="78">
        <f t="shared" si="3"/>
        <v>45315</v>
      </c>
      <c r="B26" s="79">
        <v>30.07</v>
      </c>
      <c r="C26" s="80">
        <f t="shared" si="0"/>
        <v>1018.2868716</v>
      </c>
      <c r="D26" s="80">
        <v>71.2</v>
      </c>
      <c r="E26" s="80">
        <f>(C26-0.163*((D26-32)*5/9) + (0.5685 *((C26-0.163*((D26-32)*5/9)))/1000)) *EXP([1]Calc!$C$14/((M26+273.15)+((0.0065*64.6)/2)+(0.12*0.85*((6.112*EXP((17.67*M26)/(M26+243.5)))))))</f>
        <v>1023.2418330808854</v>
      </c>
      <c r="F26" s="81">
        <v>3</v>
      </c>
      <c r="G26" s="82">
        <v>18</v>
      </c>
      <c r="H26" s="82">
        <f t="shared" si="4"/>
        <v>12.6</v>
      </c>
      <c r="I26" s="32">
        <v>7</v>
      </c>
      <c r="J26" s="83">
        <v>2</v>
      </c>
      <c r="K26" s="32">
        <v>1</v>
      </c>
      <c r="L26" s="84">
        <v>0</v>
      </c>
      <c r="M26" s="85">
        <v>9.1999999999999993</v>
      </c>
      <c r="N26" s="85">
        <v>7.2</v>
      </c>
      <c r="O26" s="81">
        <f t="shared" si="1"/>
        <v>73.540946954072524</v>
      </c>
      <c r="P26" s="85">
        <f t="shared" si="2"/>
        <v>4.7196921730585055</v>
      </c>
      <c r="Q26" s="86"/>
      <c r="R26" s="85">
        <v>5.4</v>
      </c>
      <c r="S26" s="85">
        <v>5.9</v>
      </c>
      <c r="T26" s="85">
        <v>11.6</v>
      </c>
      <c r="U26" s="85">
        <v>8.6</v>
      </c>
      <c r="V26" s="85">
        <f t="shared" si="5"/>
        <v>10.1</v>
      </c>
      <c r="W26" s="85">
        <v>5.4</v>
      </c>
      <c r="X26" s="85">
        <v>5.2</v>
      </c>
      <c r="Y26" s="87">
        <v>0.2</v>
      </c>
      <c r="Z26" s="88">
        <v>3.4</v>
      </c>
    </row>
    <row r="27" spans="1:26">
      <c r="A27" s="78">
        <f t="shared" si="3"/>
        <v>45316</v>
      </c>
      <c r="B27" s="79">
        <v>30.117999999999999</v>
      </c>
      <c r="C27" s="80">
        <f t="shared" si="0"/>
        <v>1019.91233784</v>
      </c>
      <c r="D27" s="80">
        <v>72</v>
      </c>
      <c r="E27" s="80">
        <f>(C27-0.163*((D27-32)*5/9) + (0.5685 *((C27-0.163*((D27-32)*5/9)))/1000)) *EXP([1]Calc!$C$14/((M27+273.15)+((0.0065*64.6)/2)+(0.12*0.85*((6.112*EXP((17.67*M27)/(M27+243.5)))))))</f>
        <v>1024.7987743988735</v>
      </c>
      <c r="F27" s="81">
        <v>8</v>
      </c>
      <c r="G27" s="82">
        <v>9</v>
      </c>
      <c r="H27" s="82">
        <f t="shared" si="4"/>
        <v>6.3</v>
      </c>
      <c r="I27" s="32">
        <v>8</v>
      </c>
      <c r="J27" s="83">
        <v>2</v>
      </c>
      <c r="K27" s="32">
        <v>1</v>
      </c>
      <c r="L27" s="84">
        <v>0</v>
      </c>
      <c r="M27" s="85">
        <v>9.5</v>
      </c>
      <c r="N27" s="85">
        <v>9</v>
      </c>
      <c r="O27" s="81">
        <f t="shared" si="1"/>
        <v>93.317725705746739</v>
      </c>
      <c r="P27" s="85">
        <f t="shared" si="2"/>
        <v>8.4752954963243834</v>
      </c>
      <c r="Q27" s="86">
        <v>5.9</v>
      </c>
      <c r="R27" s="85">
        <v>5.4</v>
      </c>
      <c r="S27" s="85">
        <v>6</v>
      </c>
      <c r="T27" s="85">
        <v>13.1</v>
      </c>
      <c r="U27" s="85">
        <v>5.6</v>
      </c>
      <c r="V27" s="85">
        <f t="shared" si="5"/>
        <v>9.35</v>
      </c>
      <c r="W27" s="85">
        <v>1.9</v>
      </c>
      <c r="X27" s="85">
        <v>2.2000000000000002</v>
      </c>
      <c r="Y27" s="87">
        <v>2.7</v>
      </c>
      <c r="Z27" s="88">
        <v>0.3</v>
      </c>
    </row>
    <row r="28" spans="1:26">
      <c r="A28" s="78">
        <f t="shared" si="3"/>
        <v>45317</v>
      </c>
      <c r="B28" s="79">
        <v>30.12</v>
      </c>
      <c r="C28" s="80">
        <f t="shared" si="0"/>
        <v>1019.9800656000001</v>
      </c>
      <c r="D28" s="80">
        <v>72.8</v>
      </c>
      <c r="E28" s="80">
        <f>(C28-0.163*((D28-32)*5/9) + (0.5685 *((C28-0.163*((D28-32)*5/9)))/1000)) *EXP([1]Calc!$C$14/((M28+273.15)+((0.0065*64.6)/2)+(0.12*0.85*((6.112*EXP((17.67*M28)/(M28+243.5)))))))</f>
        <v>1024.8823415598679</v>
      </c>
      <c r="F28" s="81">
        <v>0</v>
      </c>
      <c r="G28" s="82">
        <v>15</v>
      </c>
      <c r="H28" s="82">
        <f t="shared" si="4"/>
        <v>10.5</v>
      </c>
      <c r="I28" s="32">
        <v>8</v>
      </c>
      <c r="J28" s="83">
        <v>2</v>
      </c>
      <c r="K28" s="32">
        <v>1</v>
      </c>
      <c r="L28" s="84">
        <v>0</v>
      </c>
      <c r="M28" s="85">
        <v>6.6</v>
      </c>
      <c r="N28" s="85">
        <v>4.0999999999999996</v>
      </c>
      <c r="O28" s="81">
        <f t="shared" si="1"/>
        <v>63.527094313556788</v>
      </c>
      <c r="P28" s="85">
        <f t="shared" si="2"/>
        <v>0.17372668587638129</v>
      </c>
      <c r="Q28" s="86">
        <v>7</v>
      </c>
      <c r="R28" s="85">
        <v>6.9</v>
      </c>
      <c r="S28" s="85">
        <v>6.4</v>
      </c>
      <c r="T28" s="85">
        <v>9.6999999999999993</v>
      </c>
      <c r="U28" s="85">
        <v>6</v>
      </c>
      <c r="V28" s="85">
        <f t="shared" si="5"/>
        <v>7.85</v>
      </c>
      <c r="W28" s="85">
        <v>2.5</v>
      </c>
      <c r="X28" s="85">
        <v>3.6</v>
      </c>
      <c r="Y28" s="87">
        <v>0.1</v>
      </c>
      <c r="Z28" s="88">
        <v>7.5</v>
      </c>
    </row>
    <row r="29" spans="1:26">
      <c r="A29" s="78">
        <f t="shared" si="3"/>
        <v>45318</v>
      </c>
      <c r="B29" s="79">
        <v>30.38</v>
      </c>
      <c r="C29" s="80">
        <f t="shared" si="0"/>
        <v>1028.7846744000001</v>
      </c>
      <c r="D29" s="80">
        <v>73.599999999999994</v>
      </c>
      <c r="E29" s="80">
        <f>(C29-0.163*((D29-32)*5/9) + (0.5685 *((C29-0.163*((D29-32)*5/9)))/1000)) *EXP([1]Calc!$C$14/((M29+273.15)+((0.0065*64.6)/2)+(0.12*0.85*((6.112*EXP((17.67*M29)/(M29+243.5)))))))</f>
        <v>1033.8034607926643</v>
      </c>
      <c r="F29" s="81">
        <v>8</v>
      </c>
      <c r="G29" s="82">
        <v>6</v>
      </c>
      <c r="H29" s="82">
        <f t="shared" si="4"/>
        <v>4.1999999999999993</v>
      </c>
      <c r="I29" s="32">
        <v>8</v>
      </c>
      <c r="J29" s="83">
        <v>2</v>
      </c>
      <c r="K29" s="32">
        <v>1</v>
      </c>
      <c r="L29" s="84">
        <v>0</v>
      </c>
      <c r="M29" s="85">
        <v>2.9</v>
      </c>
      <c r="N29" s="85">
        <v>2.1</v>
      </c>
      <c r="O29" s="81">
        <f t="shared" si="1"/>
        <v>85.965712978352215</v>
      </c>
      <c r="P29" s="85">
        <f t="shared" si="2"/>
        <v>0.78449005817137585</v>
      </c>
      <c r="Q29" s="86">
        <v>2.8</v>
      </c>
      <c r="R29" s="85">
        <v>5.3</v>
      </c>
      <c r="S29" s="85">
        <v>6.4</v>
      </c>
      <c r="T29" s="85">
        <v>8.8000000000000007</v>
      </c>
      <c r="U29" s="85">
        <v>1.9</v>
      </c>
      <c r="V29" s="85">
        <f t="shared" si="5"/>
        <v>5.3500000000000005</v>
      </c>
      <c r="W29" s="85">
        <v>-1.7</v>
      </c>
      <c r="X29" s="85">
        <v>-1.5</v>
      </c>
      <c r="Y29" s="87">
        <v>0</v>
      </c>
      <c r="Z29" s="88">
        <v>0.8</v>
      </c>
    </row>
    <row r="30" spans="1:26">
      <c r="A30" s="78">
        <f t="shared" si="3"/>
        <v>45319</v>
      </c>
      <c r="B30" s="79">
        <v>30.065999999999999</v>
      </c>
      <c r="C30" s="80">
        <f t="shared" si="0"/>
        <v>1018.15141608</v>
      </c>
      <c r="D30" s="80">
        <v>75</v>
      </c>
      <c r="E30" s="80">
        <f>(C30-0.163*((D30-32)*5/9) + (0.5685 *((C30-0.163*((D30-32)*5/9)))/1000)) *EXP([1]Calc!$C$14/((M30+273.15)+((0.0065*64.6)/2)+(0.12*0.85*((6.112*EXP((17.67*M30)/(M30+243.5)))))))</f>
        <v>1022.8771331963167</v>
      </c>
      <c r="F30" s="81">
        <v>6</v>
      </c>
      <c r="G30" s="82">
        <v>9</v>
      </c>
      <c r="H30" s="82">
        <f t="shared" si="4"/>
        <v>6.3</v>
      </c>
      <c r="I30" s="32">
        <v>8</v>
      </c>
      <c r="J30" s="83">
        <v>1</v>
      </c>
      <c r="K30" s="32">
        <v>1</v>
      </c>
      <c r="L30" s="84">
        <v>0</v>
      </c>
      <c r="M30" s="85">
        <v>5.3</v>
      </c>
      <c r="N30" s="85">
        <v>4.5</v>
      </c>
      <c r="O30" s="81">
        <f t="shared" si="1"/>
        <v>87.387571315664431</v>
      </c>
      <c r="P30" s="85">
        <f t="shared" si="2"/>
        <v>3.3754121571447038</v>
      </c>
      <c r="Q30" s="86">
        <v>3.5</v>
      </c>
      <c r="R30" s="85">
        <v>4.9000000000000004</v>
      </c>
      <c r="S30" s="85">
        <v>6.6</v>
      </c>
      <c r="T30" s="85">
        <v>12.2</v>
      </c>
      <c r="U30" s="85">
        <v>2.8</v>
      </c>
      <c r="V30" s="85">
        <f t="shared" si="5"/>
        <v>7.5</v>
      </c>
      <c r="W30" s="85">
        <v>0.1</v>
      </c>
      <c r="X30" s="85">
        <v>0.8</v>
      </c>
      <c r="Y30" s="87" t="s">
        <v>21</v>
      </c>
      <c r="Z30" s="88">
        <v>2.9</v>
      </c>
    </row>
    <row r="31" spans="1:26">
      <c r="A31" s="78">
        <f t="shared" si="3"/>
        <v>45320</v>
      </c>
      <c r="B31" s="79">
        <v>30.065999999999999</v>
      </c>
      <c r="C31" s="80">
        <f t="shared" si="0"/>
        <v>1018.15141608</v>
      </c>
      <c r="D31" s="80">
        <v>76.599999999999994</v>
      </c>
      <c r="E31" s="80">
        <f>(C31-0.163*((D31-32)*5/9) + (0.5685 *((C31-0.163*((D31-32)*5/9)))/1000)) *EXP([1]Calc!$C$14/((M31+273.15)+((0.0065*64.6)/2)+(0.12*0.85*((6.112*EXP((17.67*M31)/(M31+243.5)))))))</f>
        <v>1022.5638298470336</v>
      </c>
      <c r="F31" s="81">
        <v>8</v>
      </c>
      <c r="G31" s="82">
        <v>8</v>
      </c>
      <c r="H31" s="82">
        <f t="shared" si="4"/>
        <v>5.6</v>
      </c>
      <c r="I31" s="32">
        <v>6</v>
      </c>
      <c r="J31" s="83">
        <v>2</v>
      </c>
      <c r="K31" s="32">
        <v>1</v>
      </c>
      <c r="L31" s="84">
        <v>0</v>
      </c>
      <c r="M31" s="85">
        <v>10.8</v>
      </c>
      <c r="N31" s="85">
        <v>10.3</v>
      </c>
      <c r="O31" s="81">
        <f t="shared" si="1"/>
        <v>93.631638159274345</v>
      </c>
      <c r="P31" s="85">
        <f t="shared" si="2"/>
        <v>9.8148337194703572</v>
      </c>
      <c r="Q31" s="86">
        <v>7.4</v>
      </c>
      <c r="R31" s="85">
        <v>5.8</v>
      </c>
      <c r="S31" s="85">
        <v>6.6</v>
      </c>
      <c r="T31" s="85">
        <v>12.6</v>
      </c>
      <c r="U31" s="85">
        <v>5.2</v>
      </c>
      <c r="V31" s="85">
        <f t="shared" si="5"/>
        <v>8.9</v>
      </c>
      <c r="W31" s="85">
        <v>3.3</v>
      </c>
      <c r="X31" s="85">
        <v>3.4</v>
      </c>
      <c r="Y31" s="87" t="s">
        <v>21</v>
      </c>
      <c r="Z31" s="88">
        <v>0</v>
      </c>
    </row>
    <row r="32" spans="1:26">
      <c r="A32" s="78">
        <f t="shared" si="3"/>
        <v>45321</v>
      </c>
      <c r="B32" s="79">
        <v>30.187999999999999</v>
      </c>
      <c r="C32" s="80">
        <f t="shared" si="0"/>
        <v>1022.2828094400001</v>
      </c>
      <c r="D32" s="80">
        <v>76.2</v>
      </c>
      <c r="E32" s="80">
        <f>(C32-0.163*((D32-32)*5/9) + (0.5685 *((C32-0.163*((D32-32)*5/9)))/1000)) *EXP([1]Calc!$C$14/((M32+273.15)+((0.0065*64.6)/2)+(0.12*0.85*((6.112*EXP((17.67*M32)/(M32+243.5)))))))</f>
        <v>1026.8665105912912</v>
      </c>
      <c r="F32" s="81">
        <v>7</v>
      </c>
      <c r="G32" s="82">
        <v>8</v>
      </c>
      <c r="H32" s="82">
        <f t="shared" si="4"/>
        <v>5.6</v>
      </c>
      <c r="I32" s="32">
        <v>8</v>
      </c>
      <c r="J32" s="83">
        <v>3</v>
      </c>
      <c r="K32" s="32">
        <v>1</v>
      </c>
      <c r="L32" s="84">
        <v>0</v>
      </c>
      <c r="M32" s="85">
        <v>7.5</v>
      </c>
      <c r="N32" s="85">
        <v>5.9</v>
      </c>
      <c r="O32" s="81">
        <f t="shared" si="1"/>
        <v>77.234217667359971</v>
      </c>
      <c r="P32" s="85">
        <f t="shared" si="2"/>
        <v>3.7736229540170037</v>
      </c>
      <c r="Q32" s="86">
        <v>7.5</v>
      </c>
      <c r="R32" s="85">
        <v>6.9</v>
      </c>
      <c r="S32" s="85">
        <v>6.6</v>
      </c>
      <c r="T32" s="85">
        <v>8</v>
      </c>
      <c r="U32" s="85">
        <v>7.2</v>
      </c>
      <c r="V32" s="85">
        <f t="shared" si="5"/>
        <v>7.6</v>
      </c>
      <c r="W32" s="85">
        <v>6</v>
      </c>
      <c r="X32" s="85">
        <v>6.3</v>
      </c>
      <c r="Y32" s="87">
        <v>0</v>
      </c>
      <c r="Z32" s="88">
        <v>0</v>
      </c>
    </row>
    <row r="33" spans="1:26">
      <c r="A33" s="78">
        <f t="shared" si="3"/>
        <v>45322</v>
      </c>
      <c r="B33" s="79">
        <v>30.25</v>
      </c>
      <c r="C33" s="80">
        <f t="shared" si="0"/>
        <v>1024.38237</v>
      </c>
      <c r="D33" s="80">
        <v>76</v>
      </c>
      <c r="E33" s="80">
        <f>(C33-0.163*((D33-32)*5/9) + (0.5685 *((C33-0.163*((D33-32)*5/9)))/1000)) *EXP([1]Calc!$C$14/((M33+273.15)+((0.0065*64.6)/2)+(0.12*0.85*((6.112*EXP((17.67*M33)/(M33+243.5)))))))</f>
        <v>1029.0450401695409</v>
      </c>
      <c r="F33" s="81">
        <v>8</v>
      </c>
      <c r="G33" s="82">
        <v>16</v>
      </c>
      <c r="H33" s="82">
        <f t="shared" si="4"/>
        <v>11.2</v>
      </c>
      <c r="I33" s="32">
        <v>7</v>
      </c>
      <c r="J33" s="83">
        <v>2</v>
      </c>
      <c r="K33" s="32">
        <v>1</v>
      </c>
      <c r="L33" s="84">
        <v>0</v>
      </c>
      <c r="M33" s="85">
        <v>6.1</v>
      </c>
      <c r="N33" s="85">
        <v>4</v>
      </c>
      <c r="O33" s="81">
        <f t="shared" si="1"/>
        <v>68.545395378412962</v>
      </c>
      <c r="P33" s="85">
        <f t="shared" si="2"/>
        <v>0.74871129607525733</v>
      </c>
      <c r="Q33" s="86">
        <v>5.4</v>
      </c>
      <c r="R33" s="85">
        <v>6.5</v>
      </c>
      <c r="S33" s="85">
        <v>6.9</v>
      </c>
      <c r="T33" s="85">
        <v>11.4</v>
      </c>
      <c r="U33" s="85">
        <v>4.8</v>
      </c>
      <c r="V33" s="85">
        <f t="shared" si="5"/>
        <v>8.1</v>
      </c>
      <c r="W33" s="85">
        <v>1.8</v>
      </c>
      <c r="X33" s="85">
        <v>2.5</v>
      </c>
      <c r="Y33" s="87">
        <v>0.7</v>
      </c>
      <c r="Z33" s="88">
        <v>0.2</v>
      </c>
    </row>
    <row r="34" spans="1:26">
      <c r="A34" s="78">
        <f t="shared" si="3"/>
        <v>45323</v>
      </c>
      <c r="B34" s="79">
        <v>30.32</v>
      </c>
      <c r="C34" s="80">
        <f t="shared" si="0"/>
        <v>1026.7528416</v>
      </c>
      <c r="D34" s="80">
        <v>76</v>
      </c>
      <c r="E34" s="80">
        <f>(C34-0.163*((D34-32)*5/9) + (0.5685 *((C34-0.163*((D34-32)*5/9)))/1000)) *EXP([2]Calc!$C$14/((M34+273.15)+((0.0065*64.6)/2)+(0.12*0.85*((6.112*EXP((17.67*M34)/(M34+243.5)))))))</f>
        <v>1031.5193941892428</v>
      </c>
      <c r="F34" s="81">
        <v>1</v>
      </c>
      <c r="G34" s="82">
        <v>0</v>
      </c>
      <c r="H34" s="82">
        <f>G34*0.7</f>
        <v>0</v>
      </c>
      <c r="I34" s="32">
        <v>7</v>
      </c>
      <c r="J34" s="83">
        <v>2</v>
      </c>
      <c r="K34" s="32">
        <v>1</v>
      </c>
      <c r="L34" s="84">
        <v>0</v>
      </c>
      <c r="M34" s="85">
        <v>3.4</v>
      </c>
      <c r="N34" s="85">
        <v>2.6</v>
      </c>
      <c r="O34" s="81">
        <f t="shared" si="1"/>
        <v>86.282997777787827</v>
      </c>
      <c r="P34" s="85">
        <f t="shared" si="2"/>
        <v>1.3272444165858657</v>
      </c>
      <c r="Q34" s="86">
        <v>4.9000000000000004</v>
      </c>
      <c r="R34" s="85">
        <v>6.9</v>
      </c>
      <c r="S34" s="85">
        <v>7</v>
      </c>
      <c r="T34" s="85">
        <v>9.9</v>
      </c>
      <c r="U34" s="85">
        <v>2.2999999999999998</v>
      </c>
      <c r="V34" s="85">
        <f>AVERAGE(T34:U34)</f>
        <v>6.1</v>
      </c>
      <c r="W34" s="85">
        <v>-0.5</v>
      </c>
      <c r="X34" s="85">
        <v>0.2</v>
      </c>
      <c r="Y34" s="87">
        <v>0</v>
      </c>
      <c r="Z34" s="88">
        <v>7.3</v>
      </c>
    </row>
    <row r="35" spans="1:26">
      <c r="A35" s="78">
        <f t="shared" si="3"/>
        <v>45324</v>
      </c>
      <c r="B35" s="79">
        <v>30.248000000000001</v>
      </c>
      <c r="C35" s="80">
        <f t="shared" si="0"/>
        <v>1024.31464224</v>
      </c>
      <c r="D35" s="80">
        <v>74.2</v>
      </c>
      <c r="E35" s="80">
        <f>(C35-0.163*((D35-32)*5/9) + (0.5685 *((C35-0.163*((D35-32)*5/9)))/1000)) *EXP([2]Calc!$C$14/((M35+273.15)+((0.0065*64.6)/2)+(0.12*0.85*((6.112*EXP((17.67*M35)/(M35+243.5)))))))</f>
        <v>1029.0248803513159</v>
      </c>
      <c r="F35" s="81">
        <v>6</v>
      </c>
      <c r="G35" s="82">
        <v>22</v>
      </c>
      <c r="H35" s="82">
        <f t="shared" ref="H35:H62" si="6">G35*0.7</f>
        <v>15.399999999999999</v>
      </c>
      <c r="I35" s="32">
        <v>8</v>
      </c>
      <c r="J35" s="83">
        <v>2</v>
      </c>
      <c r="K35" s="32">
        <v>1</v>
      </c>
      <c r="L35" s="84">
        <v>0</v>
      </c>
      <c r="M35" s="85">
        <v>9.9</v>
      </c>
      <c r="N35" s="85">
        <v>9</v>
      </c>
      <c r="O35" s="81">
        <f t="shared" si="1"/>
        <v>88.220758221860279</v>
      </c>
      <c r="P35" s="85">
        <f t="shared" si="2"/>
        <v>8.0433430181967314</v>
      </c>
      <c r="Q35" s="86">
        <v>6</v>
      </c>
      <c r="R35" s="85">
        <v>5.8</v>
      </c>
      <c r="S35" s="85">
        <v>7.1</v>
      </c>
      <c r="T35" s="85">
        <v>11.7</v>
      </c>
      <c r="U35" s="85">
        <v>3.2</v>
      </c>
      <c r="V35" s="85">
        <f t="shared" ref="V35:V62" si="7">AVERAGE(T35:U35)</f>
        <v>7.4499999999999993</v>
      </c>
      <c r="W35" s="85">
        <v>0.2</v>
      </c>
      <c r="X35" s="85">
        <v>1.2</v>
      </c>
      <c r="Y35" s="87">
        <v>0</v>
      </c>
      <c r="Z35" s="88">
        <v>0.85</v>
      </c>
    </row>
    <row r="36" spans="1:26">
      <c r="A36" s="78">
        <f t="shared" si="3"/>
        <v>45325</v>
      </c>
      <c r="B36" s="79">
        <v>30.2</v>
      </c>
      <c r="C36" s="80">
        <f t="shared" si="0"/>
        <v>1022.689176</v>
      </c>
      <c r="D36" s="80">
        <v>77.8</v>
      </c>
      <c r="E36" s="80">
        <f>(C36-0.163*((D36-32)*5/9) + (0.5685 *((C36-0.163*((D36-32)*5/9)))/1000)) *EXP([2]Calc!$C$14/((M36+273.15)+((0.0065*64.6)/2)+(0.12*0.85*((6.112*EXP((17.67*M36)/(M36+243.5)))))))</f>
        <v>1027.0298333153075</v>
      </c>
      <c r="F36" s="81">
        <v>4</v>
      </c>
      <c r="G36" s="82">
        <v>17</v>
      </c>
      <c r="H36" s="82">
        <f t="shared" si="6"/>
        <v>11.899999999999999</v>
      </c>
      <c r="I36" s="32">
        <v>8</v>
      </c>
      <c r="J36" s="83">
        <v>2</v>
      </c>
      <c r="K36" s="32">
        <v>1</v>
      </c>
      <c r="L36" s="84">
        <v>0</v>
      </c>
      <c r="M36" s="85">
        <v>10.8</v>
      </c>
      <c r="N36" s="85">
        <v>10</v>
      </c>
      <c r="O36" s="81">
        <f t="shared" si="1"/>
        <v>89.856452691467297</v>
      </c>
      <c r="P36" s="85">
        <f t="shared" si="2"/>
        <v>9.202544770993061</v>
      </c>
      <c r="Q36" s="86">
        <v>7.8</v>
      </c>
      <c r="R36" s="85">
        <v>6.9</v>
      </c>
      <c r="S36" s="85">
        <v>7</v>
      </c>
      <c r="T36" s="85">
        <v>13</v>
      </c>
      <c r="U36" s="85">
        <v>9.6999999999999993</v>
      </c>
      <c r="V36" s="85">
        <f>AVERAGE(T36:U36)</f>
        <v>11.35</v>
      </c>
      <c r="W36" s="85">
        <v>6.2</v>
      </c>
      <c r="X36" s="85">
        <v>6.8</v>
      </c>
      <c r="Y36" s="87" t="s">
        <v>60</v>
      </c>
      <c r="Z36" s="88">
        <v>0.15</v>
      </c>
    </row>
    <row r="37" spans="1:26">
      <c r="A37" s="78">
        <f t="shared" si="3"/>
        <v>45326</v>
      </c>
      <c r="B37" s="79">
        <v>30.15</v>
      </c>
      <c r="C37" s="80">
        <f t="shared" si="0"/>
        <v>1020.995982</v>
      </c>
      <c r="D37" s="80">
        <v>78</v>
      </c>
      <c r="E37" s="80">
        <f>(C37-0.163*((D37-32)*5/9) + (0.5685 *((C37-0.163*((D37-32)*5/9)))/1000)) *EXP([2]Calc!$C$14/((M37+273.15)+((0.0065*64.6)/2)+(0.12*0.85*((6.112*EXP((17.67*M37)/(M37+243.5)))))))</f>
        <v>1025.2891757542452</v>
      </c>
      <c r="F37" s="81">
        <v>7</v>
      </c>
      <c r="G37" s="82">
        <v>24</v>
      </c>
      <c r="H37" s="82">
        <f t="shared" si="6"/>
        <v>16.799999999999997</v>
      </c>
      <c r="I37" s="84">
        <v>8</v>
      </c>
      <c r="J37" s="83">
        <v>1</v>
      </c>
      <c r="K37" s="84">
        <v>1</v>
      </c>
      <c r="L37" s="84">
        <v>0</v>
      </c>
      <c r="M37" s="85">
        <v>11.3</v>
      </c>
      <c r="N37" s="85">
        <v>10.199999999999999</v>
      </c>
      <c r="O37" s="81">
        <f t="shared" si="1"/>
        <v>86.363851496834599</v>
      </c>
      <c r="P37" s="85">
        <f t="shared" si="2"/>
        <v>9.1069622487574673</v>
      </c>
      <c r="Q37" s="86">
        <v>8.1999999999999993</v>
      </c>
      <c r="R37" s="85">
        <v>7.8</v>
      </c>
      <c r="S37" s="85">
        <v>7.1</v>
      </c>
      <c r="T37" s="85">
        <v>12.4</v>
      </c>
      <c r="U37" s="85">
        <v>10.199999999999999</v>
      </c>
      <c r="V37" s="85">
        <f>AVERAGE(T37:U37)</f>
        <v>11.3</v>
      </c>
      <c r="W37" s="85">
        <v>7.5</v>
      </c>
      <c r="X37" s="85">
        <v>8</v>
      </c>
      <c r="Y37" s="87">
        <v>0</v>
      </c>
      <c r="Z37" s="88">
        <v>2.8</v>
      </c>
    </row>
    <row r="38" spans="1:26">
      <c r="A38" s="78">
        <f t="shared" si="3"/>
        <v>45327</v>
      </c>
      <c r="B38" s="79">
        <v>30.013999999999999</v>
      </c>
      <c r="C38" s="80">
        <f t="shared" si="0"/>
        <v>1016.39049432</v>
      </c>
      <c r="D38" s="80">
        <v>76.2</v>
      </c>
      <c r="E38" s="80">
        <f>(C38-0.163*((D38-32)*5/9) + (0.5685 *((C38-0.163*((D38-32)*5/9)))/1000)) *EXP([2]Calc!$C$14/((M38+273.15)+((0.0065*64.6)/2)+(0.12*0.85*((6.112*EXP((17.67*M38)/(M38+243.5)))))))</f>
        <v>1020.8609087912408</v>
      </c>
      <c r="F38" s="81">
        <v>8</v>
      </c>
      <c r="G38" s="82">
        <v>22</v>
      </c>
      <c r="H38" s="82">
        <f t="shared" si="6"/>
        <v>15.399999999999999</v>
      </c>
      <c r="I38" s="84">
        <v>8</v>
      </c>
      <c r="J38" s="83">
        <v>2</v>
      </c>
      <c r="K38" s="84">
        <v>1</v>
      </c>
      <c r="L38" s="84">
        <v>0</v>
      </c>
      <c r="M38" s="85">
        <v>9.6</v>
      </c>
      <c r="N38" s="85">
        <v>7.8</v>
      </c>
      <c r="O38" s="81">
        <f t="shared" si="1"/>
        <v>76.482275894215746</v>
      </c>
      <c r="P38" s="85">
        <f t="shared" si="2"/>
        <v>5.670225177321238</v>
      </c>
      <c r="Q38" s="86">
        <v>8</v>
      </c>
      <c r="R38" s="85">
        <v>7.9</v>
      </c>
      <c r="S38" s="85">
        <v>7.4</v>
      </c>
      <c r="T38" s="85">
        <v>11.5</v>
      </c>
      <c r="U38" s="85">
        <v>9.1</v>
      </c>
      <c r="V38" s="85">
        <f>AVERAGE(T38:U38)</f>
        <v>10.3</v>
      </c>
      <c r="W38" s="85">
        <v>6.4</v>
      </c>
      <c r="X38" s="85">
        <v>7</v>
      </c>
      <c r="Y38" s="87">
        <v>0</v>
      </c>
      <c r="Z38" s="88">
        <v>0</v>
      </c>
    </row>
    <row r="39" spans="1:26">
      <c r="A39" s="78">
        <f t="shared" si="3"/>
        <v>45328</v>
      </c>
      <c r="B39" s="79">
        <v>29.724</v>
      </c>
      <c r="C39" s="80">
        <f t="shared" si="0"/>
        <v>1006.5699691200001</v>
      </c>
      <c r="D39" s="80">
        <v>76.2</v>
      </c>
      <c r="E39" s="80">
        <f>(C39-0.163*((D39-32)*5/9) + (0.5685 *((C39-0.163*((D39-32)*5/9)))/1000)) *EXP([2]Calc!$C$14/((M39+273.15)+((0.0065*64.6)/2)+(0.12*0.85*((6.112*EXP((17.67*M39)/(M39+243.5)))))))</f>
        <v>1010.9075125592894</v>
      </c>
      <c r="F39" s="81">
        <v>8</v>
      </c>
      <c r="G39" s="82">
        <v>22</v>
      </c>
      <c r="H39" s="82">
        <f t="shared" si="6"/>
        <v>15.399999999999999</v>
      </c>
      <c r="I39" s="84">
        <v>7</v>
      </c>
      <c r="J39" s="83">
        <v>2</v>
      </c>
      <c r="K39" s="84">
        <v>1</v>
      </c>
      <c r="L39" s="84">
        <v>0</v>
      </c>
      <c r="M39" s="85">
        <v>11.3</v>
      </c>
      <c r="N39" s="85">
        <v>9.4</v>
      </c>
      <c r="O39" s="81">
        <f t="shared" si="1"/>
        <v>76.726533264311854</v>
      </c>
      <c r="P39" s="85">
        <f t="shared" si="2"/>
        <v>7.3643018244144267</v>
      </c>
      <c r="Q39" s="86">
        <v>8.6999999999999993</v>
      </c>
      <c r="R39" s="85">
        <v>8</v>
      </c>
      <c r="S39" s="85">
        <v>7.5</v>
      </c>
      <c r="T39" s="85">
        <v>13</v>
      </c>
      <c r="U39" s="85">
        <v>9.1999999999999993</v>
      </c>
      <c r="V39" s="85">
        <f t="shared" si="7"/>
        <v>11.1</v>
      </c>
      <c r="W39" s="85">
        <v>7.4</v>
      </c>
      <c r="X39" s="85">
        <v>7.9</v>
      </c>
      <c r="Y39" s="87">
        <v>0</v>
      </c>
      <c r="Z39" s="88">
        <v>0</v>
      </c>
    </row>
    <row r="40" spans="1:26">
      <c r="A40" s="78">
        <f t="shared" si="3"/>
        <v>45329</v>
      </c>
      <c r="B40" s="79">
        <v>29.6</v>
      </c>
      <c r="C40" s="80">
        <f t="shared" si="0"/>
        <v>1002.3708480000001</v>
      </c>
      <c r="D40" s="80">
        <v>76.2</v>
      </c>
      <c r="E40" s="80">
        <f>(C40-0.163*((D40-32)*5/9) + (0.5685 *((C40-0.163*((D40-32)*5/9)))/1000)) *EXP([2]Calc!$C$14/((M40+273.15)+((0.0065*64.6)/2)+(0.12*0.85*((6.112*EXP((17.67*M40)/(M40+243.5)))))))</f>
        <v>1006.8710220297255</v>
      </c>
      <c r="F40" s="81">
        <v>7</v>
      </c>
      <c r="G40" s="82">
        <v>3</v>
      </c>
      <c r="H40" s="82">
        <f t="shared" si="6"/>
        <v>2.0999999999999996</v>
      </c>
      <c r="I40" s="84">
        <v>7</v>
      </c>
      <c r="J40" s="83">
        <v>2</v>
      </c>
      <c r="K40" s="84">
        <v>1</v>
      </c>
      <c r="L40" s="84">
        <v>0</v>
      </c>
      <c r="M40" s="85">
        <v>4.7</v>
      </c>
      <c r="N40" s="85">
        <v>4.2</v>
      </c>
      <c r="O40" s="81">
        <f t="shared" si="1"/>
        <v>91.877863511734418</v>
      </c>
      <c r="P40" s="85">
        <f t="shared" si="2"/>
        <v>3.4930590905534316</v>
      </c>
      <c r="Q40" s="86">
        <v>6.5</v>
      </c>
      <c r="R40" s="85">
        <v>8.3000000000000007</v>
      </c>
      <c r="S40" s="85">
        <v>7.7</v>
      </c>
      <c r="T40" s="85">
        <v>6.1</v>
      </c>
      <c r="U40" s="85">
        <v>4.3</v>
      </c>
      <c r="V40" s="85">
        <f t="shared" si="7"/>
        <v>5.1999999999999993</v>
      </c>
      <c r="W40" s="85">
        <v>4</v>
      </c>
      <c r="X40" s="85">
        <v>4</v>
      </c>
      <c r="Y40" s="87">
        <v>28.8</v>
      </c>
      <c r="Z40" s="88">
        <v>0</v>
      </c>
    </row>
    <row r="41" spans="1:26">
      <c r="A41" s="78">
        <f t="shared" si="3"/>
        <v>45330</v>
      </c>
      <c r="B41" s="79">
        <v>29.158000000000001</v>
      </c>
      <c r="C41" s="80">
        <f t="shared" si="0"/>
        <v>987.40301304000013</v>
      </c>
      <c r="D41" s="80">
        <v>75.599999999999994</v>
      </c>
      <c r="E41" s="80">
        <f>(C41-0.163*((D41-32)*5/9) + (0.5685 *((C41-0.163*((D41-32)*5/9)))/1000)) *EXP([2]Calc!$C$14/((M41+273.15)+((0.0065*64.6)/2)+(0.12*0.85*((6.112*EXP((17.67*M41)/(M41+243.5)))))))</f>
        <v>991.8155996455738</v>
      </c>
      <c r="F41" s="81">
        <v>8</v>
      </c>
      <c r="G41" s="82">
        <v>15</v>
      </c>
      <c r="H41" s="82">
        <f t="shared" si="6"/>
        <v>10.5</v>
      </c>
      <c r="I41" s="84">
        <v>6</v>
      </c>
      <c r="J41" s="83">
        <v>2</v>
      </c>
      <c r="K41" s="84">
        <v>2</v>
      </c>
      <c r="L41" s="84">
        <v>0</v>
      </c>
      <c r="M41" s="85">
        <v>5.2</v>
      </c>
      <c r="N41" s="85">
        <v>4.8</v>
      </c>
      <c r="O41" s="81">
        <f t="shared" si="1"/>
        <v>93.633067189437469</v>
      </c>
      <c r="P41" s="85">
        <f t="shared" si="2"/>
        <v>4.257882480582178</v>
      </c>
      <c r="Q41" s="86">
        <v>6</v>
      </c>
      <c r="R41" s="85">
        <v>7.5</v>
      </c>
      <c r="S41" s="85">
        <v>7.8</v>
      </c>
      <c r="T41" s="85">
        <v>11.7</v>
      </c>
      <c r="U41" s="85">
        <v>4.5</v>
      </c>
      <c r="V41" s="85">
        <f t="shared" si="7"/>
        <v>8.1</v>
      </c>
      <c r="W41" s="85">
        <v>4.5</v>
      </c>
      <c r="X41" s="85">
        <v>4</v>
      </c>
      <c r="Y41" s="87">
        <v>25.3</v>
      </c>
      <c r="Z41" s="88">
        <v>0</v>
      </c>
    </row>
    <row r="42" spans="1:26">
      <c r="A42" s="78">
        <f t="shared" si="3"/>
        <v>45331</v>
      </c>
      <c r="B42" s="79">
        <v>28.716000000000001</v>
      </c>
      <c r="C42" s="80">
        <f t="shared" si="0"/>
        <v>972.43517808000013</v>
      </c>
      <c r="D42" s="80">
        <v>76.2</v>
      </c>
      <c r="E42" s="80">
        <f>(C42-0.163*((D42-32)*5/9) + (0.5685 *((C42-0.163*((D42-32)*5/9)))/1000)) *EXP([2]Calc!$C$14/((M42+273.15)+((0.0065*64.6)/2)+(0.12*0.85*((6.112*EXP((17.67*M42)/(M42+243.5)))))))</f>
        <v>976.50313587974597</v>
      </c>
      <c r="F42" s="81">
        <v>8</v>
      </c>
      <c r="G42" s="82">
        <v>13</v>
      </c>
      <c r="H42" s="82">
        <f t="shared" si="6"/>
        <v>9.1</v>
      </c>
      <c r="I42" s="84">
        <v>6</v>
      </c>
      <c r="J42" s="83">
        <v>55</v>
      </c>
      <c r="K42" s="84">
        <v>1</v>
      </c>
      <c r="L42" s="84">
        <v>0</v>
      </c>
      <c r="M42" s="85">
        <v>10.8</v>
      </c>
      <c r="N42" s="85">
        <v>9.8000000000000007</v>
      </c>
      <c r="O42" s="81">
        <f t="shared" si="1"/>
        <v>87.358439456038653</v>
      </c>
      <c r="P42" s="85">
        <f t="shared" si="2"/>
        <v>8.7847928496240861</v>
      </c>
      <c r="Q42" s="86">
        <v>8.6</v>
      </c>
      <c r="R42" s="85">
        <v>7.8</v>
      </c>
      <c r="S42" s="85">
        <v>7.8</v>
      </c>
      <c r="T42" s="85">
        <v>12.9</v>
      </c>
      <c r="U42" s="85">
        <v>5.0999999999999996</v>
      </c>
      <c r="V42" s="85">
        <f t="shared" si="7"/>
        <v>9</v>
      </c>
      <c r="W42" s="85">
        <v>4.9000000000000004</v>
      </c>
      <c r="X42" s="85">
        <v>4.9000000000000004</v>
      </c>
      <c r="Y42" s="87">
        <v>1.3</v>
      </c>
      <c r="Z42" s="88">
        <v>0.2</v>
      </c>
    </row>
    <row r="43" spans="1:26">
      <c r="A43" s="78">
        <f t="shared" si="3"/>
        <v>45332</v>
      </c>
      <c r="B43" s="79">
        <v>28.925999999999998</v>
      </c>
      <c r="C43" s="80">
        <f t="shared" si="0"/>
        <v>979.54659288000005</v>
      </c>
      <c r="D43" s="80">
        <v>76.7</v>
      </c>
      <c r="E43" s="80">
        <f>(C43-0.163*((D43-32)*5/9) + (0.5685 *((C43-0.163*((D43-32)*5/9)))/1000)) *EXP([2]Calc!$C$14/((M43+273.15)+((0.0065*64.6)/2)+(0.12*0.85*((6.112*EXP((17.67*M43)/(M43+243.5)))))))</f>
        <v>983.7330690601882</v>
      </c>
      <c r="F43" s="81">
        <v>8</v>
      </c>
      <c r="G43" s="82">
        <v>6</v>
      </c>
      <c r="H43" s="82">
        <f t="shared" si="6"/>
        <v>4.1999999999999993</v>
      </c>
      <c r="I43" s="84">
        <v>6</v>
      </c>
      <c r="J43" s="83">
        <v>62</v>
      </c>
      <c r="K43" s="84">
        <v>1</v>
      </c>
      <c r="L43" s="84">
        <v>0</v>
      </c>
      <c r="M43" s="85">
        <v>7.2</v>
      </c>
      <c r="N43" s="85">
        <v>7.1</v>
      </c>
      <c r="O43" s="81">
        <f t="shared" si="1"/>
        <v>98.529506411437168</v>
      </c>
      <c r="P43" s="85">
        <f t="shared" si="2"/>
        <v>6.9837906573517046</v>
      </c>
      <c r="Q43" s="86">
        <v>7.5</v>
      </c>
      <c r="R43" s="85">
        <v>8.3000000000000007</v>
      </c>
      <c r="S43" s="85">
        <v>7.9</v>
      </c>
      <c r="T43" s="85">
        <v>11.2</v>
      </c>
      <c r="U43" s="85">
        <v>5.2</v>
      </c>
      <c r="V43" s="85">
        <f t="shared" si="7"/>
        <v>8.1999999999999993</v>
      </c>
      <c r="W43" s="85">
        <v>2.7</v>
      </c>
      <c r="X43" s="85">
        <v>3.4</v>
      </c>
      <c r="Y43" s="87">
        <v>0.3</v>
      </c>
      <c r="Z43" s="88">
        <v>1.7</v>
      </c>
    </row>
    <row r="44" spans="1:26">
      <c r="A44" s="78">
        <f t="shared" si="3"/>
        <v>45333</v>
      </c>
      <c r="B44" s="79">
        <v>29.123999999999999</v>
      </c>
      <c r="C44" s="80">
        <f t="shared" si="0"/>
        <v>986.25164112000004</v>
      </c>
      <c r="D44" s="80">
        <v>77.5</v>
      </c>
      <c r="E44" s="80">
        <f>(C44-0.163*((D44-32)*5/9) + (0.5685 *((C44-0.163*((D44-32)*5/9)))/1000)) *EXP([2]Calc!$C$14/((M44+273.15)+((0.0065*64.6)/2)+(0.12*0.85*((6.112*EXP((17.67*M44)/(M44+243.5)))))))</f>
        <v>990.42756558247379</v>
      </c>
      <c r="F44" s="81">
        <v>8</v>
      </c>
      <c r="G44" s="82">
        <v>4</v>
      </c>
      <c r="H44" s="82">
        <f t="shared" si="6"/>
        <v>2.8</v>
      </c>
      <c r="I44" s="84">
        <v>6</v>
      </c>
      <c r="J44" s="83">
        <v>2</v>
      </c>
      <c r="K44" s="84">
        <v>1</v>
      </c>
      <c r="L44" s="84">
        <v>0</v>
      </c>
      <c r="M44" s="85">
        <v>7</v>
      </c>
      <c r="N44" s="85">
        <v>6.6</v>
      </c>
      <c r="O44" s="81">
        <f t="shared" si="1"/>
        <v>94.094901200770281</v>
      </c>
      <c r="P44" s="85">
        <f t="shared" si="2"/>
        <v>6.1154532939920072</v>
      </c>
      <c r="Q44" s="86">
        <v>7.4</v>
      </c>
      <c r="R44" s="85">
        <v>8.1</v>
      </c>
      <c r="S44" s="85">
        <v>8</v>
      </c>
      <c r="T44" s="85">
        <v>11.3</v>
      </c>
      <c r="U44" s="85">
        <v>6.5</v>
      </c>
      <c r="V44" s="85">
        <f t="shared" si="7"/>
        <v>8.9</v>
      </c>
      <c r="W44" s="85">
        <v>5.3</v>
      </c>
      <c r="X44" s="85">
        <v>5.8</v>
      </c>
      <c r="Y44" s="87">
        <v>0</v>
      </c>
      <c r="Z44" s="88">
        <v>3.4</v>
      </c>
    </row>
    <row r="45" spans="1:26">
      <c r="A45" s="78">
        <f t="shared" si="3"/>
        <v>45334</v>
      </c>
      <c r="B45" s="79">
        <v>29.457999999999998</v>
      </c>
      <c r="C45" s="80">
        <f t="shared" si="0"/>
        <v>997.56217704000005</v>
      </c>
      <c r="D45" s="80">
        <v>75</v>
      </c>
      <c r="E45" s="80">
        <f>(C45-0.163*((D45-32)*5/9) + (0.5685 *((C45-0.163*((D45-32)*5/9)))/1000)) *EXP([2]Calc!$C$14/((M45+273.15)+((0.0065*64.6)/2)+(0.12*0.85*((6.112*EXP((17.67*M45)/(M45+243.5)))))))</f>
        <v>1002.1069034796025</v>
      </c>
      <c r="F45" s="81">
        <v>1</v>
      </c>
      <c r="G45" s="82">
        <v>9</v>
      </c>
      <c r="H45" s="82">
        <f t="shared" si="6"/>
        <v>6.3</v>
      </c>
      <c r="I45" s="84">
        <v>8</v>
      </c>
      <c r="J45" s="83">
        <v>2</v>
      </c>
      <c r="K45" s="84">
        <v>1</v>
      </c>
      <c r="L45" s="84">
        <v>0</v>
      </c>
      <c r="M45" s="85">
        <v>5.5</v>
      </c>
      <c r="N45" s="85">
        <v>4.5</v>
      </c>
      <c r="O45" s="81">
        <f t="shared" si="1"/>
        <v>84.410245241763732</v>
      </c>
      <c r="P45" s="85">
        <f t="shared" si="2"/>
        <v>3.0814984556775857</v>
      </c>
      <c r="Q45" s="86">
        <v>5</v>
      </c>
      <c r="R45" s="85">
        <v>7.5</v>
      </c>
      <c r="S45" s="85">
        <v>8.3000000000000007</v>
      </c>
      <c r="T45" s="85">
        <v>9.6</v>
      </c>
      <c r="U45" s="85">
        <v>3.5</v>
      </c>
      <c r="V45" s="85">
        <f t="shared" si="7"/>
        <v>6.55</v>
      </c>
      <c r="W45" s="85">
        <v>0.2</v>
      </c>
      <c r="X45" s="85">
        <v>1.5</v>
      </c>
      <c r="Y45" s="87">
        <v>0.1</v>
      </c>
      <c r="Z45" s="88">
        <v>8.4</v>
      </c>
    </row>
    <row r="46" spans="1:26">
      <c r="A46" s="78">
        <f t="shared" si="3"/>
        <v>45335</v>
      </c>
      <c r="B46" s="79">
        <v>29.794</v>
      </c>
      <c r="C46" s="80">
        <f t="shared" si="0"/>
        <v>1008.9404407200001</v>
      </c>
      <c r="D46" s="80">
        <v>74.2</v>
      </c>
      <c r="E46" s="80">
        <f>(C46-0.163*((D46-32)*5/9) + (0.5685 *((C46-0.163*((D46-32)*5/9)))/1000)) *EXP([2]Calc!$C$14/((M46+273.15)+((0.0065*64.6)/2)+(0.12*0.85*((6.112*EXP((17.67*M46)/(M46+243.5)))))))</f>
        <v>1013.6336003992677</v>
      </c>
      <c r="F46" s="81">
        <v>8</v>
      </c>
      <c r="G46" s="82">
        <v>11</v>
      </c>
      <c r="H46" s="82">
        <f t="shared" si="6"/>
        <v>7.6999999999999993</v>
      </c>
      <c r="I46" s="84">
        <v>8</v>
      </c>
      <c r="J46" s="83">
        <v>2</v>
      </c>
      <c r="K46" s="84">
        <v>1</v>
      </c>
      <c r="L46" s="84">
        <v>0</v>
      </c>
      <c r="M46" s="85">
        <v>6.2</v>
      </c>
      <c r="N46" s="85">
        <v>5.4</v>
      </c>
      <c r="O46" s="81">
        <f t="shared" si="1"/>
        <v>87.859881317004252</v>
      </c>
      <c r="P46" s="85">
        <f t="shared" si="2"/>
        <v>4.3384434082456407</v>
      </c>
      <c r="Q46" s="86">
        <v>4.5999999999999996</v>
      </c>
      <c r="R46" s="85">
        <v>6.5</v>
      </c>
      <c r="S46" s="85">
        <v>8.1</v>
      </c>
      <c r="T46" s="85">
        <v>12.4</v>
      </c>
      <c r="U46" s="85">
        <v>4</v>
      </c>
      <c r="V46" s="85">
        <f t="shared" si="7"/>
        <v>8.1999999999999993</v>
      </c>
      <c r="W46" s="85">
        <v>0.3</v>
      </c>
      <c r="X46" s="85">
        <v>0.3</v>
      </c>
      <c r="Y46" s="87">
        <v>4</v>
      </c>
      <c r="Z46" s="88">
        <v>0</v>
      </c>
    </row>
    <row r="47" spans="1:26">
      <c r="A47" s="78">
        <f t="shared" si="3"/>
        <v>45336</v>
      </c>
      <c r="B47" s="79">
        <v>29.725999999999999</v>
      </c>
      <c r="C47" s="80">
        <f t="shared" si="0"/>
        <v>1006.63769688</v>
      </c>
      <c r="D47" s="80">
        <v>75.099999999999994</v>
      </c>
      <c r="E47" s="80">
        <f>(C47-0.163*((D47-32)*5/9) + (0.5685 *((C47-0.163*((D47-32)*5/9)))/1000)) *EXP([2]Calc!$C$14/((M47+273.15)+((0.0065*64.6)/2)+(0.12*0.85*((6.112*EXP((17.67*M47)/(M47+243.5)))))))</f>
        <v>1011.0435755302933</v>
      </c>
      <c r="F47" s="81">
        <v>8</v>
      </c>
      <c r="G47" s="82">
        <v>10</v>
      </c>
      <c r="H47" s="82">
        <f t="shared" si="6"/>
        <v>7</v>
      </c>
      <c r="I47" s="84">
        <v>8</v>
      </c>
      <c r="J47" s="83">
        <v>60</v>
      </c>
      <c r="K47" s="84">
        <v>1</v>
      </c>
      <c r="L47" s="84">
        <v>0</v>
      </c>
      <c r="M47" s="85">
        <v>12.4</v>
      </c>
      <c r="N47" s="85">
        <v>11.8</v>
      </c>
      <c r="O47" s="81">
        <f t="shared" si="1"/>
        <v>92.789690174308078</v>
      </c>
      <c r="P47" s="85">
        <f t="shared" si="2"/>
        <v>11.266088604294957</v>
      </c>
      <c r="Q47" s="86">
        <v>8.9</v>
      </c>
      <c r="R47" s="85">
        <v>7.3</v>
      </c>
      <c r="S47" s="85">
        <v>8</v>
      </c>
      <c r="T47" s="85">
        <v>14.6</v>
      </c>
      <c r="U47" s="85">
        <v>6.1</v>
      </c>
      <c r="V47" s="85">
        <f t="shared" si="7"/>
        <v>10.35</v>
      </c>
      <c r="W47" s="85">
        <v>5.2</v>
      </c>
      <c r="X47" s="85">
        <v>4.9000000000000004</v>
      </c>
      <c r="Y47" s="87">
        <v>0.4</v>
      </c>
      <c r="Z47" s="88">
        <v>0</v>
      </c>
    </row>
    <row r="48" spans="1:26">
      <c r="A48" s="78">
        <f t="shared" si="3"/>
        <v>45337</v>
      </c>
      <c r="B48" s="79">
        <v>29.684000000000001</v>
      </c>
      <c r="C48" s="80">
        <f t="shared" si="0"/>
        <v>1005.2154139200001</v>
      </c>
      <c r="D48" s="80">
        <v>76.5</v>
      </c>
      <c r="E48" s="80">
        <f>(C48-0.163*((D48-32)*5/9) + (0.5685 *((C48-0.163*((D48-32)*5/9)))/1000)) *EXP([2]Calc!$C$14/((M48+273.15)+((0.0065*64.6)/2)+(0.12*0.85*((6.112*EXP((17.67*M48)/(M48+243.5)))))))</f>
        <v>1009.466883888302</v>
      </c>
      <c r="F48" s="81">
        <v>6</v>
      </c>
      <c r="G48" s="82">
        <v>10</v>
      </c>
      <c r="H48" s="82">
        <f t="shared" si="6"/>
        <v>7</v>
      </c>
      <c r="I48" s="84">
        <v>8</v>
      </c>
      <c r="J48" s="83">
        <v>2</v>
      </c>
      <c r="K48" s="84">
        <v>1</v>
      </c>
      <c r="L48" s="84">
        <v>0</v>
      </c>
      <c r="M48" s="85">
        <v>12.9</v>
      </c>
      <c r="N48" s="85">
        <v>11.9</v>
      </c>
      <c r="O48" s="81">
        <f t="shared" si="1"/>
        <v>88.260350409608193</v>
      </c>
      <c r="P48" s="85">
        <f t="shared" si="2"/>
        <v>11.006040232552662</v>
      </c>
      <c r="Q48" s="86">
        <v>10.5</v>
      </c>
      <c r="R48" s="85">
        <v>8.9</v>
      </c>
      <c r="S48" s="85">
        <v>8</v>
      </c>
      <c r="T48" s="89">
        <v>16.8</v>
      </c>
      <c r="U48" s="85">
        <v>11.9</v>
      </c>
      <c r="V48" s="85">
        <f t="shared" si="7"/>
        <v>14.350000000000001</v>
      </c>
      <c r="W48" s="85">
        <v>10.9</v>
      </c>
      <c r="X48" s="85">
        <v>11.1</v>
      </c>
      <c r="Y48" s="87">
        <v>6.5</v>
      </c>
      <c r="Z48" s="88">
        <v>3.3</v>
      </c>
    </row>
    <row r="49" spans="1:26">
      <c r="A49" s="78">
        <f t="shared" si="3"/>
        <v>45338</v>
      </c>
      <c r="B49" s="79">
        <v>29.821999999999999</v>
      </c>
      <c r="C49" s="80">
        <f t="shared" si="0"/>
        <v>1009.88862936</v>
      </c>
      <c r="D49" s="80">
        <v>76.099999999999994</v>
      </c>
      <c r="E49" s="80">
        <f>(C49-0.163*((D49-32)*5/9) + (0.5685 *((C49-0.163*((D49-32)*5/9)))/1000)) *EXP([2]Calc!$C$14/((M49+273.15)+((0.0065*64.6)/2)+(0.12*0.85*((6.112*EXP((17.67*M49)/(M49+243.5)))))))</f>
        <v>1014.3077634013783</v>
      </c>
      <c r="F49" s="81">
        <v>3</v>
      </c>
      <c r="G49" s="82">
        <v>11</v>
      </c>
      <c r="H49" s="82">
        <f t="shared" si="6"/>
        <v>7.6999999999999993</v>
      </c>
      <c r="I49" s="84">
        <v>8</v>
      </c>
      <c r="J49" s="83">
        <v>2</v>
      </c>
      <c r="K49" s="84">
        <v>1</v>
      </c>
      <c r="L49" s="84">
        <v>0</v>
      </c>
      <c r="M49" s="85">
        <v>9.8000000000000007</v>
      </c>
      <c r="N49" s="85">
        <v>8.9</v>
      </c>
      <c r="O49" s="81">
        <f t="shared" si="1"/>
        <v>88.176524294277115</v>
      </c>
      <c r="P49" s="85">
        <f t="shared" si="2"/>
        <v>7.9374333852642609</v>
      </c>
      <c r="Q49" s="86">
        <v>9.6999999999999993</v>
      </c>
      <c r="R49" s="85">
        <v>9.6999999999999993</v>
      </c>
      <c r="S49" s="85">
        <v>8.1999999999999993</v>
      </c>
      <c r="T49" s="85">
        <v>13.4</v>
      </c>
      <c r="U49" s="85">
        <v>8.3000000000000007</v>
      </c>
      <c r="V49" s="85">
        <f t="shared" si="7"/>
        <v>10.850000000000001</v>
      </c>
      <c r="W49" s="85">
        <v>6</v>
      </c>
      <c r="X49" s="85">
        <v>7.1</v>
      </c>
      <c r="Y49" s="87">
        <v>0</v>
      </c>
      <c r="Z49" s="88">
        <v>6.2</v>
      </c>
    </row>
    <row r="50" spans="1:26">
      <c r="A50" s="78">
        <f t="shared" si="3"/>
        <v>45339</v>
      </c>
      <c r="B50" s="79">
        <v>30.236000000000001</v>
      </c>
      <c r="C50" s="80">
        <f t="shared" si="0"/>
        <v>1023.9082756800001</v>
      </c>
      <c r="D50" s="80">
        <v>76.400000000000006</v>
      </c>
      <c r="E50" s="80">
        <f>(C50-0.163*((D50-32)*5/9) + (0.5685 *((C50-0.163*((D50-32)*5/9)))/1000)) *EXP([2]Calc!$C$14/((M50+273.15)+((0.0065*64.6)/2)+(0.12*0.85*((6.112*EXP((17.67*M50)/(M50+243.5)))))))</f>
        <v>1028.3990518142798</v>
      </c>
      <c r="F50" s="81">
        <v>8</v>
      </c>
      <c r="G50" s="82">
        <v>10</v>
      </c>
      <c r="H50" s="82">
        <f t="shared" si="6"/>
        <v>7</v>
      </c>
      <c r="I50" s="84">
        <v>6</v>
      </c>
      <c r="J50" s="83">
        <v>2</v>
      </c>
      <c r="K50" s="84">
        <v>1</v>
      </c>
      <c r="L50" s="84">
        <v>0</v>
      </c>
      <c r="M50" s="85">
        <v>10.4</v>
      </c>
      <c r="N50" s="85">
        <v>10</v>
      </c>
      <c r="O50" s="81">
        <f t="shared" si="1"/>
        <v>94.822650539051978</v>
      </c>
      <c r="P50" s="85">
        <f t="shared" si="2"/>
        <v>9.6059828349879677</v>
      </c>
      <c r="Q50" s="86">
        <v>9.4</v>
      </c>
      <c r="R50" s="85">
        <v>9.5</v>
      </c>
      <c r="S50" s="85">
        <v>8.3000000000000007</v>
      </c>
      <c r="T50" s="85">
        <v>13.8</v>
      </c>
      <c r="U50" s="85">
        <v>9.1</v>
      </c>
      <c r="V50" s="85">
        <f t="shared" si="7"/>
        <v>11.45</v>
      </c>
      <c r="W50" s="85">
        <v>6.8</v>
      </c>
      <c r="X50" s="85">
        <v>7.3</v>
      </c>
      <c r="Y50" s="87">
        <v>25.5</v>
      </c>
      <c r="Z50" s="88">
        <v>0.6</v>
      </c>
    </row>
    <row r="51" spans="1:26">
      <c r="A51" s="78">
        <f t="shared" si="3"/>
        <v>45340</v>
      </c>
      <c r="B51" s="79">
        <v>30.012</v>
      </c>
      <c r="C51" s="80">
        <f t="shared" si="0"/>
        <v>1016.3227665600001</v>
      </c>
      <c r="D51" s="80">
        <v>82</v>
      </c>
      <c r="E51" s="80">
        <f>(C51-0.163*((D51-32)*5/9) + (0.5685 *((C51-0.163*((D51-32)*5/9)))/1000)) *EXP([2]Calc!$C$14/((M51+273.15)+((0.0065*64.6)/2)+(0.12*0.85*((6.112*EXP((17.67*M51)/(M51+243.5)))))))</f>
        <v>1020.1998516641253</v>
      </c>
      <c r="F51" s="81">
        <v>6</v>
      </c>
      <c r="G51" s="82">
        <v>12</v>
      </c>
      <c r="H51" s="82">
        <f t="shared" si="6"/>
        <v>8.3999999999999986</v>
      </c>
      <c r="I51" s="84">
        <v>7</v>
      </c>
      <c r="J51" s="83">
        <v>2</v>
      </c>
      <c r="K51" s="84">
        <v>2</v>
      </c>
      <c r="L51" s="84">
        <v>0</v>
      </c>
      <c r="M51" s="85">
        <v>11.7</v>
      </c>
      <c r="N51" s="85">
        <v>11.4</v>
      </c>
      <c r="O51" s="81">
        <f t="shared" si="1"/>
        <v>96.288622378174352</v>
      </c>
      <c r="P51" s="85">
        <f t="shared" si="2"/>
        <v>11.12881803727084</v>
      </c>
      <c r="Q51" s="86">
        <v>10.5</v>
      </c>
      <c r="R51" s="85">
        <v>10</v>
      </c>
      <c r="S51" s="85">
        <v>8.8000000000000007</v>
      </c>
      <c r="T51" s="85">
        <v>14.7</v>
      </c>
      <c r="U51" s="85">
        <v>8.4</v>
      </c>
      <c r="V51" s="85">
        <f t="shared" si="7"/>
        <v>11.55</v>
      </c>
      <c r="W51" s="85">
        <v>8.1</v>
      </c>
      <c r="X51" s="85">
        <v>10</v>
      </c>
      <c r="Y51" s="87">
        <v>0.2</v>
      </c>
      <c r="Z51" s="88">
        <v>4.5999999999999996</v>
      </c>
    </row>
    <row r="52" spans="1:26">
      <c r="A52" s="78">
        <f t="shared" si="3"/>
        <v>45341</v>
      </c>
      <c r="B52" s="79">
        <v>30.265999999999998</v>
      </c>
      <c r="C52" s="80">
        <f t="shared" si="0"/>
        <v>1024.92419208</v>
      </c>
      <c r="D52" s="80">
        <v>76</v>
      </c>
      <c r="E52" s="80">
        <f>(C52-0.163*((D52-32)*5/9) + (0.5685 *((C52-0.163*((D52-32)*5/9)))/1000)) *EXP([2]Calc!$C$14/((M52+273.15)+((0.0065*64.6)/2)+(0.12*0.85*((6.112*EXP((17.67*M52)/(M52+243.5)))))))</f>
        <v>1029.4630076790129</v>
      </c>
      <c r="F52" s="81">
        <v>7</v>
      </c>
      <c r="G52" s="82">
        <v>12</v>
      </c>
      <c r="H52" s="82">
        <f t="shared" si="6"/>
        <v>8.3999999999999986</v>
      </c>
      <c r="I52" s="84">
        <v>8</v>
      </c>
      <c r="J52" s="83">
        <v>2</v>
      </c>
      <c r="K52" s="84">
        <v>1</v>
      </c>
      <c r="L52" s="84">
        <v>0</v>
      </c>
      <c r="M52" s="85">
        <v>10.3</v>
      </c>
      <c r="N52" s="85">
        <v>9.3000000000000007</v>
      </c>
      <c r="O52" s="81">
        <f t="shared" si="1"/>
        <v>87.124281626907731</v>
      </c>
      <c r="P52" s="85">
        <f t="shared" si="2"/>
        <v>8.2531353670329946</v>
      </c>
      <c r="Q52" s="86">
        <v>10.7</v>
      </c>
      <c r="R52" s="85">
        <v>9.9</v>
      </c>
      <c r="S52" s="85">
        <v>8.9</v>
      </c>
      <c r="T52" s="85">
        <v>12.7</v>
      </c>
      <c r="U52" s="85">
        <v>7</v>
      </c>
      <c r="V52" s="85">
        <f t="shared" si="7"/>
        <v>9.85</v>
      </c>
      <c r="W52" s="85">
        <v>5.3</v>
      </c>
      <c r="X52" s="85">
        <v>6</v>
      </c>
      <c r="Y52" s="87" t="s">
        <v>60</v>
      </c>
      <c r="Z52" s="88">
        <v>0.2</v>
      </c>
    </row>
    <row r="53" spans="1:26">
      <c r="A53" s="78">
        <f t="shared" si="3"/>
        <v>45342</v>
      </c>
      <c r="B53" s="79">
        <v>30.207999999999998</v>
      </c>
      <c r="C53" s="80">
        <f t="shared" si="0"/>
        <v>1022.96008704</v>
      </c>
      <c r="D53" s="80">
        <v>76.3</v>
      </c>
      <c r="E53" s="80">
        <f>(C53-0.163*((D53-32)*5/9) + (0.5685 *((C53-0.163*((D53-32)*5/9)))/1000)) *EXP([2]Calc!$C$14/((M53+273.15)+((0.0065*64.6)/2)+(0.12*0.85*((6.112*EXP((17.67*M53)/(M53+243.5)))))))</f>
        <v>1027.4976410928809</v>
      </c>
      <c r="F53" s="81">
        <v>8</v>
      </c>
      <c r="G53" s="82">
        <v>11</v>
      </c>
      <c r="H53" s="82">
        <f t="shared" si="6"/>
        <v>7.6999999999999993</v>
      </c>
      <c r="I53" s="84">
        <v>8</v>
      </c>
      <c r="J53" s="83">
        <v>2</v>
      </c>
      <c r="K53" s="84">
        <v>1</v>
      </c>
      <c r="L53" s="84">
        <v>0</v>
      </c>
      <c r="M53" s="85">
        <v>8.9</v>
      </c>
      <c r="N53" s="85">
        <v>8.1999999999999993</v>
      </c>
      <c r="O53" s="81">
        <f t="shared" si="1"/>
        <v>90.456024064631379</v>
      </c>
      <c r="P53" s="85">
        <f t="shared" si="2"/>
        <v>7.4235329269184787</v>
      </c>
      <c r="Q53" s="86">
        <v>8</v>
      </c>
      <c r="R53" s="85">
        <v>9.1999999999999993</v>
      </c>
      <c r="S53" s="85">
        <v>9</v>
      </c>
      <c r="T53" s="85">
        <v>13.5</v>
      </c>
      <c r="U53" s="85">
        <v>6.6</v>
      </c>
      <c r="V53" s="85">
        <f t="shared" si="7"/>
        <v>10.050000000000001</v>
      </c>
      <c r="W53" s="85">
        <v>4.4000000000000004</v>
      </c>
      <c r="X53" s="85">
        <v>4.9000000000000004</v>
      </c>
      <c r="Y53" s="87">
        <v>4.3</v>
      </c>
      <c r="Z53" s="88">
        <v>6.9</v>
      </c>
    </row>
    <row r="54" spans="1:26">
      <c r="A54" s="78">
        <f t="shared" si="3"/>
        <v>45343</v>
      </c>
      <c r="B54" s="79">
        <v>29.58</v>
      </c>
      <c r="C54" s="80">
        <f t="shared" si="0"/>
        <v>1001.6935704</v>
      </c>
      <c r="D54" s="80">
        <v>75.599999999999994</v>
      </c>
      <c r="E54" s="80">
        <f>(C54-0.163*((D54-32)*5/9) + (0.5685 *((C54-0.163*((D54-32)*5/9)))/1000)) *EXP([2]Calc!$C$14/((M54+273.15)+((0.0065*64.6)/2)+(0.12*0.85*((6.112*EXP((17.67*M54)/(M54+243.5)))))))</f>
        <v>1006.1017210428241</v>
      </c>
      <c r="F54" s="81">
        <v>8</v>
      </c>
      <c r="G54" s="82">
        <v>18</v>
      </c>
      <c r="H54" s="82">
        <f t="shared" si="6"/>
        <v>12.6</v>
      </c>
      <c r="I54" s="84">
        <v>7</v>
      </c>
      <c r="J54" s="83">
        <v>2</v>
      </c>
      <c r="K54" s="84">
        <v>2</v>
      </c>
      <c r="L54" s="84">
        <v>0</v>
      </c>
      <c r="M54" s="85">
        <v>9.4</v>
      </c>
      <c r="N54" s="85">
        <v>8.6</v>
      </c>
      <c r="O54" s="81">
        <f t="shared" si="1"/>
        <v>89.314723537297851</v>
      </c>
      <c r="P54" s="85">
        <f t="shared" si="2"/>
        <v>7.7312924644354091</v>
      </c>
      <c r="Q54" s="86">
        <v>9</v>
      </c>
      <c r="R54" s="85">
        <v>9.4</v>
      </c>
      <c r="S54" s="85">
        <v>8.9</v>
      </c>
      <c r="T54" s="85">
        <v>12.2</v>
      </c>
      <c r="U54" s="85">
        <v>8.5</v>
      </c>
      <c r="V54" s="85">
        <f t="shared" si="7"/>
        <v>10.35</v>
      </c>
      <c r="W54" s="85">
        <v>8.1999999999999993</v>
      </c>
      <c r="X54" s="85">
        <v>8.1999999999999993</v>
      </c>
      <c r="Y54" s="87">
        <v>2.5</v>
      </c>
      <c r="Z54" s="88">
        <v>0</v>
      </c>
    </row>
    <row r="55" spans="1:26">
      <c r="A55" s="78">
        <f t="shared" si="3"/>
        <v>45344</v>
      </c>
      <c r="B55" s="79">
        <v>28.922000000000001</v>
      </c>
      <c r="C55" s="80">
        <f t="shared" si="0"/>
        <v>979.41113736000011</v>
      </c>
      <c r="D55" s="80">
        <v>75.7</v>
      </c>
      <c r="E55" s="80">
        <f>(C55-0.163*((D55-32)*5/9) + (0.5685 *((C55-0.163*((D55-32)*5/9)))/1000)) *EXP([2]Calc!$C$14/((M55+273.15)+((0.0065*64.6)/2)+(0.12*0.85*((6.112*EXP((17.67*M55)/(M55+243.5)))))))</f>
        <v>983.5886816861032</v>
      </c>
      <c r="F55" s="81">
        <v>8</v>
      </c>
      <c r="G55" s="82">
        <v>7</v>
      </c>
      <c r="H55" s="82">
        <f t="shared" si="6"/>
        <v>4.8999999999999995</v>
      </c>
      <c r="I55" s="84">
        <v>6</v>
      </c>
      <c r="J55" s="83">
        <v>90</v>
      </c>
      <c r="K55" s="84">
        <v>1</v>
      </c>
      <c r="L55" s="84">
        <v>0</v>
      </c>
      <c r="M55" s="85">
        <v>10.6</v>
      </c>
      <c r="N55" s="85">
        <v>10</v>
      </c>
      <c r="O55" s="81">
        <f t="shared" si="1"/>
        <v>92.313689347842356</v>
      </c>
      <c r="P55" s="85">
        <f t="shared" si="2"/>
        <v>9.4054715081040676</v>
      </c>
      <c r="Q55" s="86">
        <v>8.6999999999999993</v>
      </c>
      <c r="R55" s="85">
        <v>9.1999999999999993</v>
      </c>
      <c r="S55" s="85">
        <v>9</v>
      </c>
      <c r="T55" s="85">
        <v>11.6</v>
      </c>
      <c r="U55" s="85">
        <v>7.9</v>
      </c>
      <c r="V55" s="85">
        <f>AVERAGE(T55:U55)</f>
        <v>9.75</v>
      </c>
      <c r="W55" s="85">
        <v>4.5999999999999996</v>
      </c>
      <c r="X55" s="85">
        <v>6</v>
      </c>
      <c r="Y55" s="87">
        <v>13.7</v>
      </c>
      <c r="Z55" s="88">
        <v>0</v>
      </c>
    </row>
    <row r="56" spans="1:26">
      <c r="A56" s="78">
        <f t="shared" si="3"/>
        <v>45345</v>
      </c>
      <c r="B56" s="79">
        <v>28.975999999999999</v>
      </c>
      <c r="C56" s="80">
        <f t="shared" si="0"/>
        <v>981.23978688</v>
      </c>
      <c r="D56" s="80">
        <v>73.2</v>
      </c>
      <c r="E56" s="80">
        <f>(C56-0.163*((D56-32)*5/9) + (0.5685 *((C56-0.163*((D56-32)*5/9)))/1000)) *EXP([2]Calc!$C$14/((M56+273.15)+((0.0065*64.6)/2)+(0.12*0.85*((6.112*EXP((17.67*M56)/(M56+243.5)))))))</f>
        <v>985.80732504804075</v>
      </c>
      <c r="F56" s="81">
        <v>6</v>
      </c>
      <c r="G56" s="82">
        <v>12</v>
      </c>
      <c r="H56" s="82">
        <f t="shared" si="6"/>
        <v>8.3999999999999986</v>
      </c>
      <c r="I56" s="84">
        <v>8</v>
      </c>
      <c r="J56" s="83">
        <v>2</v>
      </c>
      <c r="K56" s="84">
        <v>2</v>
      </c>
      <c r="L56" s="84">
        <v>0</v>
      </c>
      <c r="M56" s="85">
        <v>5.6</v>
      </c>
      <c r="N56" s="85">
        <v>4.5</v>
      </c>
      <c r="O56" s="81">
        <f t="shared" si="1"/>
        <v>82.946921178134488</v>
      </c>
      <c r="P56" s="85">
        <f t="shared" si="2"/>
        <v>2.9324876145413001</v>
      </c>
      <c r="Q56" s="86">
        <v>4.8</v>
      </c>
      <c r="R56" s="85">
        <v>7.8</v>
      </c>
      <c r="S56" s="85">
        <v>9</v>
      </c>
      <c r="T56" s="85">
        <v>8.6</v>
      </c>
      <c r="U56" s="85">
        <v>2.9</v>
      </c>
      <c r="V56" s="85">
        <f>AVERAGE(T56:U56)</f>
        <v>5.75</v>
      </c>
      <c r="W56" s="85">
        <v>0.1</v>
      </c>
      <c r="X56" s="85">
        <v>1.2</v>
      </c>
      <c r="Y56" s="87">
        <v>0.5</v>
      </c>
      <c r="Z56" s="88">
        <v>3</v>
      </c>
    </row>
    <row r="57" spans="1:26">
      <c r="A57" s="78">
        <f t="shared" si="3"/>
        <v>45346</v>
      </c>
      <c r="B57" s="79">
        <v>29.146000000000001</v>
      </c>
      <c r="C57" s="80">
        <f t="shared" si="0"/>
        <v>986.99664648000009</v>
      </c>
      <c r="D57" s="80">
        <v>73</v>
      </c>
      <c r="E57" s="80">
        <f>(C57-0.163*((D57-32)*5/9) + (0.5685 *((C57-0.163*((D57-32)*5/9)))/1000)) *EXP([2]Calc!$C$14/((M57+273.15)+((0.0065*64.6)/2)+(0.12*0.85*((6.112*EXP((17.67*M57)/(M57+243.5)))))))</f>
        <v>991.76336314499576</v>
      </c>
      <c r="F57" s="81">
        <v>6</v>
      </c>
      <c r="G57" s="82">
        <v>1</v>
      </c>
      <c r="H57" s="82">
        <f t="shared" si="6"/>
        <v>0.7</v>
      </c>
      <c r="I57" s="84">
        <v>8</v>
      </c>
      <c r="J57" s="83">
        <v>2</v>
      </c>
      <c r="K57" s="84">
        <v>1</v>
      </c>
      <c r="L57" s="84">
        <v>0</v>
      </c>
      <c r="M57" s="85">
        <v>1.2</v>
      </c>
      <c r="N57" s="85">
        <v>1.2</v>
      </c>
      <c r="O57" s="81">
        <f t="shared" si="1"/>
        <v>100</v>
      </c>
      <c r="P57" s="85">
        <f t="shared" si="2"/>
        <v>1.2000000000000004</v>
      </c>
      <c r="Q57" s="86">
        <v>3.3</v>
      </c>
      <c r="R57" s="85">
        <v>7</v>
      </c>
      <c r="S57" s="85">
        <v>9</v>
      </c>
      <c r="T57" s="85">
        <v>8.1</v>
      </c>
      <c r="U57" s="85">
        <v>-0.9</v>
      </c>
      <c r="V57" s="85">
        <f t="shared" si="7"/>
        <v>3.5999999999999996</v>
      </c>
      <c r="W57" s="85">
        <v>-3.8</v>
      </c>
      <c r="X57" s="85">
        <v>-0.8</v>
      </c>
      <c r="Y57" s="87" t="s">
        <v>60</v>
      </c>
      <c r="Z57" s="88">
        <v>3.9</v>
      </c>
    </row>
    <row r="58" spans="1:26">
      <c r="A58" s="78">
        <f t="shared" si="3"/>
        <v>45347</v>
      </c>
      <c r="B58" s="79">
        <v>29.29</v>
      </c>
      <c r="C58" s="80">
        <f t="shared" si="0"/>
        <v>991.87304519999998</v>
      </c>
      <c r="D58" s="80">
        <v>74.099999999999994</v>
      </c>
      <c r="E58" s="80">
        <f>(C58-0.163*((D58-32)*5/9) + (0.5685 *((C58-0.163*((D58-32)*5/9)))/1000)) *EXP([2]Calc!$C$14/((M58+273.15)+((0.0065*64.6)/2)+(0.12*0.85*((6.112*EXP((17.67*M58)/(M58+243.5)))))))</f>
        <v>996.55702855026539</v>
      </c>
      <c r="F58" s="81">
        <v>6</v>
      </c>
      <c r="G58" s="82">
        <v>0</v>
      </c>
      <c r="H58" s="82">
        <f t="shared" si="6"/>
        <v>0</v>
      </c>
      <c r="I58" s="84">
        <v>8</v>
      </c>
      <c r="J58" s="83">
        <v>1</v>
      </c>
      <c r="K58" s="84">
        <v>1</v>
      </c>
      <c r="L58" s="84">
        <v>0</v>
      </c>
      <c r="M58" s="85">
        <v>2</v>
      </c>
      <c r="N58" s="85">
        <v>1.7</v>
      </c>
      <c r="O58" s="81">
        <f t="shared" si="1"/>
        <v>94.478281251119697</v>
      </c>
      <c r="P58" s="85">
        <f t="shared" si="2"/>
        <v>1.2069288379475165</v>
      </c>
      <c r="Q58" s="86">
        <v>3</v>
      </c>
      <c r="R58" s="85">
        <v>6</v>
      </c>
      <c r="S58" s="85">
        <v>8.8000000000000007</v>
      </c>
      <c r="T58" s="85">
        <v>8.1999999999999993</v>
      </c>
      <c r="U58" s="85">
        <v>-1.2</v>
      </c>
      <c r="V58" s="85">
        <f t="shared" si="7"/>
        <v>3.4999999999999996</v>
      </c>
      <c r="W58" s="85">
        <v>-2.8</v>
      </c>
      <c r="X58" s="85">
        <v>-2.2000000000000002</v>
      </c>
      <c r="Y58" s="87" t="s">
        <v>60</v>
      </c>
      <c r="Z58" s="88">
        <v>1.8</v>
      </c>
    </row>
    <row r="59" spans="1:26">
      <c r="A59" s="78">
        <f t="shared" si="3"/>
        <v>45348</v>
      </c>
      <c r="B59" s="79">
        <v>29.692</v>
      </c>
      <c r="C59" s="80">
        <f t="shared" si="0"/>
        <v>1005.48632496</v>
      </c>
      <c r="D59" s="80">
        <v>71.8</v>
      </c>
      <c r="E59" s="80">
        <f>(C59-0.163*((D59-32)*5/9) + (0.5685 *((C59-0.163*((D59-32)*5/9)))/1000)) *EXP([2]Calc!$C$14/((M59+273.15)+((0.0065*64.6)/2)+(0.12*0.85*((6.112*EXP((17.67*M59)/(M59+243.5)))))))</f>
        <v>1010.3936164064454</v>
      </c>
      <c r="F59" s="81">
        <v>5</v>
      </c>
      <c r="G59" s="82">
        <v>17</v>
      </c>
      <c r="H59" s="82">
        <f t="shared" si="6"/>
        <v>11.899999999999999</v>
      </c>
      <c r="I59" s="84">
        <v>8</v>
      </c>
      <c r="J59" s="83">
        <v>2</v>
      </c>
      <c r="K59" s="84">
        <v>1</v>
      </c>
      <c r="L59" s="84">
        <v>0</v>
      </c>
      <c r="M59" s="85">
        <v>5.4</v>
      </c>
      <c r="N59" s="85">
        <v>3.8</v>
      </c>
      <c r="O59" s="81">
        <f t="shared" si="1"/>
        <v>75.144834678222082</v>
      </c>
      <c r="P59" s="85">
        <f t="shared" si="2"/>
        <v>1.3525222792747995</v>
      </c>
      <c r="Q59" s="86">
        <v>4.9000000000000004</v>
      </c>
      <c r="R59" s="85">
        <v>6.3</v>
      </c>
      <c r="S59" s="85">
        <v>8.6999999999999993</v>
      </c>
      <c r="T59" s="85">
        <v>8.9</v>
      </c>
      <c r="U59" s="85">
        <v>2</v>
      </c>
      <c r="V59" s="85">
        <f t="shared" si="7"/>
        <v>5.45</v>
      </c>
      <c r="W59" s="85">
        <v>1</v>
      </c>
      <c r="X59" s="85">
        <v>1.4</v>
      </c>
      <c r="Y59" s="87">
        <v>0.3</v>
      </c>
      <c r="Z59" s="88">
        <v>6</v>
      </c>
    </row>
    <row r="60" spans="1:26">
      <c r="A60" s="78">
        <f t="shared" si="3"/>
        <v>45349</v>
      </c>
      <c r="B60" s="79">
        <v>30.047999999999998</v>
      </c>
      <c r="C60" s="80">
        <f t="shared" si="0"/>
        <v>1017.54186624</v>
      </c>
      <c r="D60" s="80">
        <v>73.599999999999994</v>
      </c>
      <c r="E60" s="80">
        <f>(C60-0.163*((D60-32)*5/9) + (0.5685 *((C60-0.163*((D60-32)*5/9)))/1000)) *EXP([2]Calc!$C$14/((M60+273.15)+((0.0065*64.6)/2)+(0.12*0.85*((6.112*EXP((17.67*M60)/(M60+243.5)))))))</f>
        <v>1022.479803952633</v>
      </c>
      <c r="F60" s="81">
        <v>8</v>
      </c>
      <c r="G60" s="82">
        <v>5</v>
      </c>
      <c r="H60" s="82">
        <f t="shared" si="6"/>
        <v>3.5</v>
      </c>
      <c r="I60" s="84">
        <v>7</v>
      </c>
      <c r="J60" s="83">
        <v>2</v>
      </c>
      <c r="K60" s="84">
        <v>1</v>
      </c>
      <c r="L60" s="84">
        <v>0</v>
      </c>
      <c r="M60" s="85">
        <v>2.4</v>
      </c>
      <c r="N60" s="85">
        <v>2.1</v>
      </c>
      <c r="O60" s="81">
        <f t="shared" si="1"/>
        <v>94.580677955936991</v>
      </c>
      <c r="P60" s="85">
        <f t="shared" si="2"/>
        <v>1.6194721555453158</v>
      </c>
      <c r="Q60" s="86">
        <v>3.6</v>
      </c>
      <c r="R60" s="85">
        <v>6</v>
      </c>
      <c r="S60" s="85">
        <v>8.4</v>
      </c>
      <c r="T60" s="85">
        <v>8.9</v>
      </c>
      <c r="U60" s="85">
        <v>0.7</v>
      </c>
      <c r="V60" s="85">
        <f t="shared" si="7"/>
        <v>4.8</v>
      </c>
      <c r="W60" s="85">
        <v>-0.5</v>
      </c>
      <c r="X60" s="85">
        <v>-1.2</v>
      </c>
      <c r="Y60" s="87">
        <v>0</v>
      </c>
      <c r="Z60" s="88">
        <v>1.5</v>
      </c>
    </row>
    <row r="61" spans="1:26">
      <c r="A61" s="78">
        <f t="shared" si="3"/>
        <v>45350</v>
      </c>
      <c r="B61" s="79">
        <v>29.917999999999999</v>
      </c>
      <c r="C61" s="80">
        <f t="shared" si="0"/>
        <v>1013.1395618400001</v>
      </c>
      <c r="D61" s="80">
        <v>75</v>
      </c>
      <c r="E61" s="80">
        <f>(C61-0.163*((D61-32)*5/9) + (0.5685 *((C61-0.163*((D61-32)*5/9)))/1000)) *EXP([2]Calc!$C$14/((M61+273.15)+((0.0065*64.6)/2)+(0.12*0.85*((6.112*EXP((17.67*M61)/(M61+243.5)))))))</f>
        <v>1017.7375872260428</v>
      </c>
      <c r="F61" s="81">
        <v>8</v>
      </c>
      <c r="G61" s="82">
        <v>8</v>
      </c>
      <c r="H61" s="82">
        <f t="shared" si="6"/>
        <v>5.6</v>
      </c>
      <c r="I61" s="84">
        <v>8</v>
      </c>
      <c r="J61" s="83">
        <v>2</v>
      </c>
      <c r="K61" s="84">
        <v>1</v>
      </c>
      <c r="L61" s="84">
        <v>0</v>
      </c>
      <c r="M61" s="85">
        <v>8.1</v>
      </c>
      <c r="N61" s="85">
        <v>7.4</v>
      </c>
      <c r="O61" s="81">
        <f t="shared" si="1"/>
        <v>90.153500616554936</v>
      </c>
      <c r="P61" s="85">
        <f t="shared" si="2"/>
        <v>6.5841458078669257</v>
      </c>
      <c r="Q61" s="86">
        <v>6.8</v>
      </c>
      <c r="R61" s="85">
        <v>6.6</v>
      </c>
      <c r="S61" s="85">
        <v>8.4</v>
      </c>
      <c r="T61" s="85">
        <v>11.2</v>
      </c>
      <c r="U61" s="85">
        <v>2.2999999999999998</v>
      </c>
      <c r="V61" s="85">
        <f t="shared" si="7"/>
        <v>6.75</v>
      </c>
      <c r="W61" s="85">
        <v>3.9</v>
      </c>
      <c r="X61" s="85">
        <v>2.8</v>
      </c>
      <c r="Y61" s="87">
        <v>3.7</v>
      </c>
      <c r="Z61" s="88">
        <v>0</v>
      </c>
    </row>
    <row r="62" spans="1:26">
      <c r="A62" s="78">
        <f t="shared" si="3"/>
        <v>45351</v>
      </c>
      <c r="B62" s="79">
        <v>29.568000000000001</v>
      </c>
      <c r="C62" s="80">
        <f t="shared" si="0"/>
        <v>1001.2872038400001</v>
      </c>
      <c r="D62" s="80">
        <v>76</v>
      </c>
      <c r="E62" s="80">
        <f>(C62-0.163*((D62-32)*5/9) + (0.5685 *((C62-0.163*((D62-32)*5/9)))/1000)) *EXP([2]Calc!$C$14/((M62+273.15)+((0.0065*64.6)/2)+(0.12*0.85*((6.112*EXP((17.67*M62)/(M62+243.5)))))))</f>
        <v>1005.6435326017942</v>
      </c>
      <c r="F62" s="81">
        <v>8</v>
      </c>
      <c r="G62" s="82">
        <v>5</v>
      </c>
      <c r="H62" s="82">
        <f t="shared" si="6"/>
        <v>3.5</v>
      </c>
      <c r="I62" s="84">
        <v>8</v>
      </c>
      <c r="J62" s="83">
        <v>2</v>
      </c>
      <c r="K62" s="84">
        <v>1</v>
      </c>
      <c r="L62" s="84">
        <v>0</v>
      </c>
      <c r="M62" s="85">
        <v>9.8000000000000007</v>
      </c>
      <c r="N62" s="85">
        <v>9.6</v>
      </c>
      <c r="O62" s="81">
        <f t="shared" si="1"/>
        <v>97.345299600010222</v>
      </c>
      <c r="P62" s="85">
        <f t="shared" si="2"/>
        <v>9.3994170821771732</v>
      </c>
      <c r="Q62" s="86">
        <v>8.9</v>
      </c>
      <c r="R62" s="85">
        <v>7.9</v>
      </c>
      <c r="S62" s="85">
        <v>8.1999999999999993</v>
      </c>
      <c r="T62" s="85">
        <v>9.8000000000000007</v>
      </c>
      <c r="U62" s="85">
        <v>7.9</v>
      </c>
      <c r="V62" s="85">
        <f t="shared" si="7"/>
        <v>8.8500000000000014</v>
      </c>
      <c r="W62" s="85">
        <v>7.8</v>
      </c>
      <c r="X62" s="85">
        <v>7.2</v>
      </c>
      <c r="Y62" s="87">
        <v>6.7</v>
      </c>
      <c r="Z62" s="88">
        <v>0</v>
      </c>
    </row>
    <row r="63" spans="1:26">
      <c r="A63" s="78">
        <f t="shared" si="3"/>
        <v>45352</v>
      </c>
      <c r="B63" s="91">
        <v>29.03</v>
      </c>
      <c r="C63" s="92">
        <f>B63*33.86388</f>
        <v>983.06843640000011</v>
      </c>
      <c r="D63" s="92">
        <v>73</v>
      </c>
      <c r="E63" s="92">
        <f>(C63-0.163*((D63-32)*5/9) + (0.5685 *((C63-0.163*((D63-32)*5/9)))/1000)) *EXP([3]Calc!$C$14/((M63+273.15)+((0.0065*64.6)/2)+(0.12*0.85*((6.112*EXP((17.67*M63)/(M63+243.5)))))))</f>
        <v>987.67272556643525</v>
      </c>
      <c r="F63" s="93">
        <v>8</v>
      </c>
      <c r="G63" s="94">
        <v>13</v>
      </c>
      <c r="H63" s="94">
        <f>G63*0.7</f>
        <v>9.1</v>
      </c>
      <c r="I63" s="84">
        <v>8</v>
      </c>
      <c r="J63" s="95">
        <v>25</v>
      </c>
      <c r="K63" s="84">
        <v>2</v>
      </c>
      <c r="L63" s="84">
        <v>0</v>
      </c>
      <c r="M63" s="96">
        <v>5.5</v>
      </c>
      <c r="N63" s="96">
        <v>4.8</v>
      </c>
      <c r="O63" s="93">
        <f>IF(M63&gt;0,100*(((6.112*EXP((17.67*N63)/(N63+243.5)))-0.8*(M63-N63))/(6.112*EXP((17.67*M63)/(M63+243.5)))),100*(((6.109*EXP((22.5*N63)/(N63+273)))-0.8*(M63-N63))/(6.109*EXP((22.5*M63)/(M63+273)))))</f>
        <v>89.043777281892361</v>
      </c>
      <c r="P63" s="96">
        <f t="shared" si="2"/>
        <v>3.83899156171652</v>
      </c>
      <c r="Q63" s="97">
        <v>5.5</v>
      </c>
      <c r="R63" s="96">
        <v>7.6</v>
      </c>
      <c r="S63" s="96">
        <v>8.1999999999999993</v>
      </c>
      <c r="T63" s="96">
        <v>8.1999999999999993</v>
      </c>
      <c r="U63" s="96">
        <v>2.7</v>
      </c>
      <c r="V63" s="96">
        <f>AVERAGE(T63:U63)</f>
        <v>5.4499999999999993</v>
      </c>
      <c r="W63" s="96">
        <v>-0.6</v>
      </c>
      <c r="X63" s="96">
        <v>1.2</v>
      </c>
      <c r="Y63" s="98">
        <v>6.3</v>
      </c>
      <c r="Z63" s="99">
        <v>3.7</v>
      </c>
    </row>
    <row r="64" spans="1:26">
      <c r="A64" s="78">
        <f t="shared" si="3"/>
        <v>45353</v>
      </c>
      <c r="B64" s="91">
        <v>29.006</v>
      </c>
      <c r="C64" s="92">
        <f t="shared" ref="C64:C93" si="8">B64*33.86388</f>
        <v>982.25570328000003</v>
      </c>
      <c r="D64" s="92">
        <v>74</v>
      </c>
      <c r="E64" s="92">
        <f>(C64-0.163*((D64-32)*5/9) + (0.5685 *((C64-0.163*((D64-32)*5/9)))/1000)) *EXP([3]Calc!$C$14/((M64+273.15)+((0.0065*64.6)/2)+(0.12*0.85*((6.112*EXP((17.67*M64)/(M64+243.5)))))))</f>
        <v>986.82120569489109</v>
      </c>
      <c r="F64" s="93">
        <v>7</v>
      </c>
      <c r="G64" s="94">
        <v>10</v>
      </c>
      <c r="H64" s="94">
        <f t="shared" ref="H64:H93" si="9">G64*0.7</f>
        <v>7</v>
      </c>
      <c r="I64" s="84">
        <v>8</v>
      </c>
      <c r="J64" s="95">
        <v>3</v>
      </c>
      <c r="K64" s="84">
        <v>1</v>
      </c>
      <c r="L64" s="84">
        <v>0</v>
      </c>
      <c r="M64" s="96">
        <v>3.5</v>
      </c>
      <c r="N64" s="96">
        <v>2.7</v>
      </c>
      <c r="O64" s="93">
        <f t="shared" ref="O64:O93" si="10">IF(M64&gt;0,100*(((6.112*EXP((17.67*N64)/(N64+243.5)))-0.8*(M64-N64))/(6.112*EXP((17.67*M64)/(M64+243.5)))),100*(((6.109*EXP((22.5*N64)/(N64+273)))-0.8*(M64-N64))/(6.109*EXP((22.5*M64)/(M64+273)))))</f>
        <v>86.345055735027998</v>
      </c>
      <c r="P64" s="96">
        <f>IF(M64&gt;0, (243.5*LN(((6.112*EXP((17.67*N64)/(N64+243.5)))-0.8*(M64-N64))/6.112))/(17.67-LN(((6.112*EXP((17.67*N64)/(N64+243.5)))-0.8*(M64-N64))/6.112)),(273*LN(((6.109*EXP((22.5*N64)/(N64+273)))-0.8*(M64-N64))/6.109))/(22.5-LN(((6.109*EXP((22.5*N64)/(N64+273)))-0.8*(M64-N64))/6.109)))</f>
        <v>1.4355966961394773</v>
      </c>
      <c r="Q64" s="97">
        <v>5</v>
      </c>
      <c r="R64" s="96">
        <v>6.8</v>
      </c>
      <c r="S64" s="96">
        <v>8.4</v>
      </c>
      <c r="T64" s="96">
        <v>7.1</v>
      </c>
      <c r="U64" s="96">
        <v>3</v>
      </c>
      <c r="V64" s="96">
        <f t="shared" ref="V64:V93" si="11">AVERAGE(T64:U64)</f>
        <v>5.05</v>
      </c>
      <c r="W64" s="96">
        <v>0.3</v>
      </c>
      <c r="X64" s="96">
        <v>1.4</v>
      </c>
      <c r="Y64" s="98">
        <v>0.2</v>
      </c>
      <c r="Z64" s="99">
        <v>2.1</v>
      </c>
    </row>
    <row r="65" spans="1:26">
      <c r="A65" s="78">
        <f t="shared" si="3"/>
        <v>45354</v>
      </c>
      <c r="B65" s="91">
        <v>29.448</v>
      </c>
      <c r="C65" s="92">
        <f t="shared" si="8"/>
        <v>997.22353824000004</v>
      </c>
      <c r="D65" s="92">
        <v>73.900000000000006</v>
      </c>
      <c r="E65" s="92">
        <f>(C65-0.163*((D65-32)*5/9) + (0.5685 *((C65-0.163*((D65-32)*5/9)))/1000)) *EXP([3]Calc!$C$14/((M65+273.15)+((0.0065*64.6)/2)+(0.12*0.85*((6.112*EXP((17.67*M65)/(M65+243.5)))))))</f>
        <v>1002.0300112230886</v>
      </c>
      <c r="F65" s="93">
        <v>9</v>
      </c>
      <c r="G65" s="94">
        <v>0</v>
      </c>
      <c r="H65" s="94">
        <f t="shared" si="9"/>
        <v>0</v>
      </c>
      <c r="I65" s="84">
        <v>1</v>
      </c>
      <c r="J65" s="95">
        <v>45</v>
      </c>
      <c r="K65" s="84">
        <v>1</v>
      </c>
      <c r="L65" s="84">
        <v>0</v>
      </c>
      <c r="M65" s="96">
        <v>0.1</v>
      </c>
      <c r="N65" s="96">
        <v>0.1</v>
      </c>
      <c r="O65" s="93">
        <f t="shared" si="10"/>
        <v>100</v>
      </c>
      <c r="P65" s="96">
        <f t="shared" ref="P65:P93" si="12">IF(M65&gt;0, (243.5*LN(((6.112*EXP((17.67*N65)/(N65+243.5)))-0.8*(M65-N65))/6.112))/(17.67-LN(((6.112*EXP((17.67*N65)/(N65+243.5)))-0.8*(M65-N65))/6.112)),(273*LN(((6.109*EXP((22.5*N65)/(N65+273)))-0.8*(M65-N65))/6.109))/(22.5-LN(((6.109*EXP((22.5*N65)/(N65+273)))-0.8*(M65-N65))/6.109)))</f>
        <v>9.9999999999999659E-2</v>
      </c>
      <c r="Q65" s="97">
        <v>3.4</v>
      </c>
      <c r="R65" s="96">
        <v>6.3</v>
      </c>
      <c r="S65" s="96">
        <v>8.3000000000000007</v>
      </c>
      <c r="T65" s="96">
        <v>9.4</v>
      </c>
      <c r="U65" s="96">
        <v>-1.3</v>
      </c>
      <c r="V65" s="96">
        <f t="shared" si="11"/>
        <v>4.05</v>
      </c>
      <c r="W65" s="96">
        <v>-2.1</v>
      </c>
      <c r="X65" s="96">
        <v>-1.6</v>
      </c>
      <c r="Y65" s="98">
        <v>0.1</v>
      </c>
      <c r="Z65" s="99">
        <v>6.4</v>
      </c>
    </row>
    <row r="66" spans="1:26">
      <c r="A66" s="78">
        <f t="shared" si="3"/>
        <v>45355</v>
      </c>
      <c r="B66" s="91">
        <v>29.702000000000002</v>
      </c>
      <c r="C66" s="92">
        <f t="shared" si="8"/>
        <v>1005.8249637600001</v>
      </c>
      <c r="D66" s="92">
        <v>74.5</v>
      </c>
      <c r="E66" s="92">
        <f>(C66-0.163*((D66-32)*5/9) + (0.5685 *((C66-0.163*((D66-32)*5/9)))/1000)) *EXP([3]Calc!$C$14/((M66+273.15)+((0.0065*64.6)/2)+(0.12*0.85*((6.112*EXP((17.67*M66)/(M66+243.5)))))))</f>
        <v>1010.4885549543719</v>
      </c>
      <c r="F66" s="93">
        <v>2</v>
      </c>
      <c r="G66" s="94">
        <v>5</v>
      </c>
      <c r="H66" s="94">
        <f t="shared" si="9"/>
        <v>3.5</v>
      </c>
      <c r="I66" s="84">
        <v>8</v>
      </c>
      <c r="J66" s="95">
        <v>3</v>
      </c>
      <c r="K66" s="84">
        <v>1</v>
      </c>
      <c r="L66" s="84">
        <v>0</v>
      </c>
      <c r="M66" s="96">
        <v>5.4</v>
      </c>
      <c r="N66" s="96">
        <v>4.5</v>
      </c>
      <c r="O66" s="93">
        <f t="shared" si="10"/>
        <v>85.890401162200618</v>
      </c>
      <c r="P66" s="96">
        <f t="shared" si="12"/>
        <v>3.2291309790183322</v>
      </c>
      <c r="Q66" s="97">
        <v>3.1</v>
      </c>
      <c r="R66" s="96">
        <v>6</v>
      </c>
      <c r="S66" s="96">
        <v>8.3000000000000007</v>
      </c>
      <c r="T66" s="96">
        <v>11</v>
      </c>
      <c r="U66" s="96">
        <v>-4</v>
      </c>
      <c r="V66" s="96">
        <f t="shared" si="11"/>
        <v>3.5</v>
      </c>
      <c r="W66" s="96">
        <v>-4</v>
      </c>
      <c r="X66" s="96">
        <v>-2</v>
      </c>
      <c r="Y66" s="98">
        <v>0.1</v>
      </c>
      <c r="Z66" s="99">
        <v>4</v>
      </c>
    </row>
    <row r="67" spans="1:26">
      <c r="A67" s="78">
        <f t="shared" si="3"/>
        <v>45356</v>
      </c>
      <c r="B67" s="91">
        <v>29.786000000000001</v>
      </c>
      <c r="C67" s="92">
        <f t="shared" si="8"/>
        <v>1008.6695296800001</v>
      </c>
      <c r="D67" s="92">
        <v>74.5</v>
      </c>
      <c r="E67" s="92">
        <f>(C67-0.163*((D67-32)*5/9) + (0.5685 *((C67-0.163*((D67-32)*5/9)))/1000)) *EXP([3]Calc!$C$14/((M67+273.15)+((0.0065*64.6)/2)+(0.12*0.85*((6.112*EXP((17.67*M67)/(M67+243.5)))))))</f>
        <v>1013.2816255905636</v>
      </c>
      <c r="F67" s="93">
        <v>7</v>
      </c>
      <c r="G67" s="94">
        <v>0</v>
      </c>
      <c r="H67" s="94">
        <f t="shared" si="9"/>
        <v>0</v>
      </c>
      <c r="I67" s="84">
        <v>8</v>
      </c>
      <c r="J67" s="95">
        <v>3</v>
      </c>
      <c r="K67" s="84">
        <v>1</v>
      </c>
      <c r="L67" s="84">
        <v>0</v>
      </c>
      <c r="M67" s="96">
        <v>7.9</v>
      </c>
      <c r="N67" s="96">
        <v>6.6</v>
      </c>
      <c r="O67" s="93">
        <f t="shared" si="10"/>
        <v>81.722439548566044</v>
      </c>
      <c r="P67" s="96">
        <f t="shared" si="12"/>
        <v>4.9696885869503422</v>
      </c>
      <c r="Q67" s="97">
        <v>6.2</v>
      </c>
      <c r="R67" s="96">
        <v>6.4</v>
      </c>
      <c r="S67" s="96">
        <v>8</v>
      </c>
      <c r="T67" s="96">
        <v>11.6</v>
      </c>
      <c r="U67" s="96">
        <v>4.9000000000000004</v>
      </c>
      <c r="V67" s="96">
        <f t="shared" si="11"/>
        <v>8.25</v>
      </c>
      <c r="W67" s="96">
        <v>3</v>
      </c>
      <c r="X67" s="96">
        <v>3.2</v>
      </c>
      <c r="Y67" s="98">
        <v>0</v>
      </c>
      <c r="Z67" s="99">
        <v>4.5999999999999996</v>
      </c>
    </row>
    <row r="68" spans="1:26">
      <c r="A68" s="78">
        <f t="shared" ref="A68:A131" si="13">A67+1</f>
        <v>45357</v>
      </c>
      <c r="B68" s="91">
        <v>29.98</v>
      </c>
      <c r="C68" s="92">
        <f t="shared" si="8"/>
        <v>1015.2391224</v>
      </c>
      <c r="D68" s="92">
        <v>75.400000000000006</v>
      </c>
      <c r="E68" s="92">
        <f>(C68-0.163*((D68-32)*5/9) + (0.5685 *((C68-0.163*((D68-32)*5/9)))/1000)) *EXP([3]Calc!$C$14/((M68+273.15)+((0.0065*64.6)/2)+(0.12*0.85*((6.112*EXP((17.67*M68)/(M68+243.5)))))))</f>
        <v>1019.943467450501</v>
      </c>
      <c r="F68" s="93">
        <v>8</v>
      </c>
      <c r="G68" s="94">
        <v>0</v>
      </c>
      <c r="H68" s="94">
        <f t="shared" si="9"/>
        <v>0</v>
      </c>
      <c r="I68" s="84">
        <v>3</v>
      </c>
      <c r="J68" s="95">
        <v>45</v>
      </c>
      <c r="K68" s="84">
        <v>1</v>
      </c>
      <c r="L68" s="84">
        <v>0</v>
      </c>
      <c r="M68" s="96">
        <v>4</v>
      </c>
      <c r="N68" s="96">
        <v>3.9</v>
      </c>
      <c r="O68" s="93">
        <f t="shared" si="10"/>
        <v>98.316032875841685</v>
      </c>
      <c r="P68" s="96">
        <f t="shared" si="12"/>
        <v>3.7584499971477876</v>
      </c>
      <c r="Q68" s="97">
        <v>5.6</v>
      </c>
      <c r="R68" s="96">
        <v>6.9</v>
      </c>
      <c r="S68" s="96">
        <v>8</v>
      </c>
      <c r="T68" s="96">
        <v>11.8</v>
      </c>
      <c r="U68" s="96">
        <v>2.1</v>
      </c>
      <c r="V68" s="96">
        <f t="shared" si="11"/>
        <v>6.95</v>
      </c>
      <c r="W68" s="96">
        <v>-1</v>
      </c>
      <c r="X68" s="96">
        <v>0.4</v>
      </c>
      <c r="Y68" s="98">
        <v>0</v>
      </c>
      <c r="Z68" s="99">
        <v>5.8</v>
      </c>
    </row>
    <row r="69" spans="1:26">
      <c r="A69" s="78">
        <f t="shared" si="13"/>
        <v>45358</v>
      </c>
      <c r="B69" s="91">
        <v>30.053999999999998</v>
      </c>
      <c r="C69" s="92">
        <f t="shared" si="8"/>
        <v>1017.74504952</v>
      </c>
      <c r="D69" s="92">
        <v>74.5</v>
      </c>
      <c r="E69" s="92">
        <f>(C69-0.163*((D69-32)*5/9) + (0.5685 *((C69-0.163*((D69-32)*5/9)))/1000)) *EXP([3]Calc!$C$14/((M69+273.15)+((0.0065*64.6)/2)+(0.12*0.85*((6.112*EXP((17.67*M69)/(M69+243.5)))))))</f>
        <v>1022.4762271449747</v>
      </c>
      <c r="F69" s="93">
        <v>7</v>
      </c>
      <c r="G69" s="94">
        <v>11</v>
      </c>
      <c r="H69" s="94">
        <f t="shared" si="9"/>
        <v>7.6999999999999993</v>
      </c>
      <c r="I69" s="84">
        <v>6</v>
      </c>
      <c r="J69" s="95">
        <v>2</v>
      </c>
      <c r="K69" s="84">
        <v>1</v>
      </c>
      <c r="L69" s="84">
        <v>0</v>
      </c>
      <c r="M69" s="96">
        <v>6.5</v>
      </c>
      <c r="N69" s="96">
        <v>5.5</v>
      </c>
      <c r="O69" s="93">
        <f t="shared" si="10"/>
        <v>85.053912396459509</v>
      </c>
      <c r="P69" s="96">
        <f t="shared" si="12"/>
        <v>4.1703814296245003</v>
      </c>
      <c r="Q69" s="97">
        <v>6.1</v>
      </c>
      <c r="R69" s="96">
        <v>7.2</v>
      </c>
      <c r="S69" s="96">
        <v>8</v>
      </c>
      <c r="T69" s="96">
        <v>10.199999999999999</v>
      </c>
      <c r="U69" s="96">
        <v>3.2</v>
      </c>
      <c r="V69" s="96">
        <f t="shared" si="11"/>
        <v>6.6999999999999993</v>
      </c>
      <c r="W69" s="96">
        <v>-0.1</v>
      </c>
      <c r="X69" s="96">
        <v>-0.7</v>
      </c>
      <c r="Y69" s="98">
        <v>0</v>
      </c>
      <c r="Z69" s="99">
        <v>0</v>
      </c>
    </row>
    <row r="70" spans="1:26">
      <c r="A70" s="78">
        <f t="shared" si="13"/>
        <v>45359</v>
      </c>
      <c r="B70" s="91">
        <v>29.69</v>
      </c>
      <c r="C70" s="92">
        <f t="shared" si="8"/>
        <v>1005.4185972000001</v>
      </c>
      <c r="D70" s="92">
        <v>72.3</v>
      </c>
      <c r="E70" s="92">
        <f>(C70-0.163*((D70-32)*5/9) + (0.5685 *((C70-0.163*((D70-32)*5/9)))/1000)) *EXP([3]Calc!$C$14/((M70+273.15)+((0.0065*64.6)/2)+(0.12*0.85*((6.112*EXP((17.67*M70)/(M70+243.5)))))))</f>
        <v>1010.2433558467529</v>
      </c>
      <c r="F70" s="93">
        <v>6</v>
      </c>
      <c r="G70" s="94">
        <v>13</v>
      </c>
      <c r="H70" s="94">
        <f t="shared" si="9"/>
        <v>9.1</v>
      </c>
      <c r="I70" s="84">
        <v>7</v>
      </c>
      <c r="J70" s="95">
        <v>2</v>
      </c>
      <c r="K70" s="84">
        <v>1</v>
      </c>
      <c r="L70" s="84">
        <v>0</v>
      </c>
      <c r="M70" s="96">
        <v>6.6</v>
      </c>
      <c r="N70" s="96">
        <v>4.8</v>
      </c>
      <c r="O70" s="93">
        <f t="shared" si="10"/>
        <v>73.49512587098269</v>
      </c>
      <c r="P70" s="96">
        <f t="shared" si="12"/>
        <v>2.2018667027222953</v>
      </c>
      <c r="Q70" s="97">
        <v>5.6</v>
      </c>
      <c r="R70" s="96">
        <v>7.2</v>
      </c>
      <c r="S70" s="96">
        <v>8.1</v>
      </c>
      <c r="T70" s="96">
        <v>10.8</v>
      </c>
      <c r="U70" s="96">
        <v>4</v>
      </c>
      <c r="V70" s="96">
        <f t="shared" si="11"/>
        <v>7.4</v>
      </c>
      <c r="W70" s="96">
        <v>1.4</v>
      </c>
      <c r="X70" s="96">
        <v>2.5</v>
      </c>
      <c r="Y70" s="98">
        <v>0</v>
      </c>
      <c r="Z70" s="99">
        <v>7.5</v>
      </c>
    </row>
    <row r="71" spans="1:26">
      <c r="A71" s="78">
        <f t="shared" si="13"/>
        <v>45360</v>
      </c>
      <c r="B71" s="91">
        <v>29.263999999999999</v>
      </c>
      <c r="C71" s="92">
        <f t="shared" si="8"/>
        <v>990.99258431999999</v>
      </c>
      <c r="D71" s="92">
        <v>74.599999999999994</v>
      </c>
      <c r="E71" s="92">
        <f>(C71-0.163*((D71-32)*5/9) + (0.5685 *((C71-0.163*((D71-32)*5/9)))/1000)) *EXP([3]Calc!$C$14/((M71+273.15)+((0.0065*64.6)/2)+(0.12*0.85*((6.112*EXP((17.67*M71)/(M71+243.5)))))))</f>
        <v>995.41126402742771</v>
      </c>
      <c r="F71" s="93">
        <v>5</v>
      </c>
      <c r="G71" s="94">
        <v>13</v>
      </c>
      <c r="H71" s="94">
        <f t="shared" si="9"/>
        <v>9.1</v>
      </c>
      <c r="I71" s="84">
        <v>8</v>
      </c>
      <c r="J71" s="95">
        <v>2</v>
      </c>
      <c r="K71" s="84">
        <v>0</v>
      </c>
      <c r="L71" s="84">
        <v>0</v>
      </c>
      <c r="M71" s="96">
        <v>9.1</v>
      </c>
      <c r="N71" s="96">
        <v>7</v>
      </c>
      <c r="O71" s="93">
        <f t="shared" si="10"/>
        <v>72.149684310195767</v>
      </c>
      <c r="P71" s="96">
        <f t="shared" si="12"/>
        <v>4.3502190701700991</v>
      </c>
      <c r="Q71" s="97">
        <v>6.4</v>
      </c>
      <c r="R71" s="96">
        <v>7.3</v>
      </c>
      <c r="S71" s="96">
        <v>8</v>
      </c>
      <c r="T71" s="96">
        <v>13.7</v>
      </c>
      <c r="U71" s="96">
        <v>4.5999999999999996</v>
      </c>
      <c r="V71" s="96">
        <f t="shared" si="11"/>
        <v>9.1499999999999986</v>
      </c>
      <c r="W71" s="96">
        <v>2.5</v>
      </c>
      <c r="X71" s="96">
        <v>3.5</v>
      </c>
      <c r="Y71" s="98">
        <v>3.5</v>
      </c>
      <c r="Z71" s="99">
        <v>3.5</v>
      </c>
    </row>
    <row r="72" spans="1:26">
      <c r="A72" s="78">
        <f t="shared" si="13"/>
        <v>45361</v>
      </c>
      <c r="B72" s="91">
        <v>29.26</v>
      </c>
      <c r="C72" s="92">
        <f t="shared" si="8"/>
        <v>990.85712880000005</v>
      </c>
      <c r="D72" s="92">
        <v>74.5</v>
      </c>
      <c r="E72" s="92">
        <f>(C72-0.163*((D72-32)*5/9) + (0.5685 *((C72-0.163*((D72-32)*5/9)))/1000)) *EXP([3]Calc!$C$14/((M72+273.15)+((0.0065*64.6)/2)+(0.12*0.85*((6.112*EXP((17.67*M72)/(M72+243.5)))))))</f>
        <v>995.31036921183022</v>
      </c>
      <c r="F72" s="93">
        <v>8</v>
      </c>
      <c r="G72" s="94">
        <v>3</v>
      </c>
      <c r="H72" s="94">
        <f t="shared" si="9"/>
        <v>2.0999999999999996</v>
      </c>
      <c r="I72" s="84">
        <v>6</v>
      </c>
      <c r="J72" s="95">
        <v>25</v>
      </c>
      <c r="K72" s="84">
        <v>1</v>
      </c>
      <c r="L72" s="84">
        <v>0</v>
      </c>
      <c r="M72" s="96">
        <v>8.1999999999999993</v>
      </c>
      <c r="N72" s="96">
        <v>8</v>
      </c>
      <c r="O72" s="93">
        <f t="shared" si="10"/>
        <v>97.177731962172714</v>
      </c>
      <c r="P72" s="96">
        <f t="shared" si="12"/>
        <v>7.7791723756084918</v>
      </c>
      <c r="Q72" s="97">
        <v>7.7</v>
      </c>
      <c r="R72" s="96">
        <v>7.8</v>
      </c>
      <c r="S72" s="96">
        <v>8.1</v>
      </c>
      <c r="T72" s="96">
        <v>9.9</v>
      </c>
      <c r="U72" s="96">
        <v>7.4</v>
      </c>
      <c r="V72" s="96">
        <f t="shared" si="11"/>
        <v>8.65</v>
      </c>
      <c r="W72" s="96">
        <v>5.0999999999999996</v>
      </c>
      <c r="X72" s="96">
        <v>7</v>
      </c>
      <c r="Y72" s="98">
        <v>6.2</v>
      </c>
      <c r="Z72" s="99">
        <v>0</v>
      </c>
    </row>
    <row r="73" spans="1:26">
      <c r="A73" s="78">
        <f t="shared" si="13"/>
        <v>45362</v>
      </c>
      <c r="B73" s="91">
        <v>29.585999999999999</v>
      </c>
      <c r="C73" s="92">
        <f t="shared" si="8"/>
        <v>1001.89675368</v>
      </c>
      <c r="D73" s="92">
        <v>74.8</v>
      </c>
      <c r="E73" s="92">
        <f>(C73-0.163*((D73-32)*5/9) + (0.5685 *((C73-0.163*((D73-32)*5/9)))/1000)) *EXP([3]Calc!$C$14/((M73+273.15)+((0.0065*64.6)/2)+(0.12*0.85*((6.112*EXP((17.67*M73)/(M73+243.5)))))))</f>
        <v>1006.4513999423647</v>
      </c>
      <c r="F73" s="93">
        <v>8</v>
      </c>
      <c r="G73" s="94">
        <v>8</v>
      </c>
      <c r="H73" s="94">
        <f t="shared" si="9"/>
        <v>5.6</v>
      </c>
      <c r="I73" s="84">
        <v>6</v>
      </c>
      <c r="J73" s="95">
        <v>2</v>
      </c>
      <c r="K73" s="84">
        <v>1</v>
      </c>
      <c r="L73" s="84">
        <v>0</v>
      </c>
      <c r="M73" s="96">
        <v>7</v>
      </c>
      <c r="N73" s="96">
        <v>6.4</v>
      </c>
      <c r="O73" s="93">
        <f t="shared" si="10"/>
        <v>91.166847219440356</v>
      </c>
      <c r="P73" s="96">
        <f t="shared" si="12"/>
        <v>5.6585007030534626</v>
      </c>
      <c r="Q73" s="97">
        <v>7.7</v>
      </c>
      <c r="R73" s="96">
        <v>8.3000000000000007</v>
      </c>
      <c r="S73" s="96">
        <v>8.1</v>
      </c>
      <c r="T73" s="96">
        <v>9.6</v>
      </c>
      <c r="U73" s="96">
        <v>6.3</v>
      </c>
      <c r="V73" s="96">
        <f t="shared" si="11"/>
        <v>7.9499999999999993</v>
      </c>
      <c r="W73" s="96">
        <v>6.6</v>
      </c>
      <c r="X73" s="96">
        <v>6.5</v>
      </c>
      <c r="Y73" s="98">
        <v>6.6</v>
      </c>
      <c r="Z73" s="99">
        <v>0.1</v>
      </c>
    </row>
    <row r="74" spans="1:26">
      <c r="A74" s="78">
        <f t="shared" si="13"/>
        <v>45363</v>
      </c>
      <c r="B74" s="91">
        <v>29.648</v>
      </c>
      <c r="C74" s="92">
        <f t="shared" si="8"/>
        <v>1003.9963142400001</v>
      </c>
      <c r="D74" s="92">
        <v>74.599999999999994</v>
      </c>
      <c r="E74" s="92">
        <f>(C74-0.163*((D74-32)*5/9) + (0.5685 *((C74-0.163*((D74-32)*5/9)))/1000)) *EXP([3]Calc!$C$14/((M74+273.15)+((0.0065*64.6)/2)+(0.12*0.85*((6.112*EXP((17.67*M74)/(M74+243.5)))))))</f>
        <v>1008.5180489756452</v>
      </c>
      <c r="F74" s="93">
        <v>8</v>
      </c>
      <c r="G74" s="94">
        <v>14</v>
      </c>
      <c r="H74" s="94">
        <f t="shared" si="9"/>
        <v>9.7999999999999989</v>
      </c>
      <c r="I74" s="84">
        <v>6</v>
      </c>
      <c r="J74" s="95">
        <v>51</v>
      </c>
      <c r="K74" s="84">
        <v>1</v>
      </c>
      <c r="L74" s="84">
        <v>0</v>
      </c>
      <c r="M74" s="96">
        <v>9.3000000000000007</v>
      </c>
      <c r="N74" s="96">
        <v>9</v>
      </c>
      <c r="O74" s="93">
        <f t="shared" si="10"/>
        <v>95.948306971672807</v>
      </c>
      <c r="P74" s="96">
        <f t="shared" si="12"/>
        <v>8.6871538877551373</v>
      </c>
      <c r="Q74" s="97">
        <v>7.6</v>
      </c>
      <c r="R74" s="96">
        <v>8.3000000000000007</v>
      </c>
      <c r="S74" s="96">
        <v>8.1999999999999993</v>
      </c>
      <c r="T74" s="96">
        <v>13</v>
      </c>
      <c r="U74" s="96">
        <v>6.4</v>
      </c>
      <c r="V74" s="96">
        <f t="shared" si="11"/>
        <v>9.6999999999999993</v>
      </c>
      <c r="W74" s="96">
        <v>3.4</v>
      </c>
      <c r="X74" s="96">
        <v>5.4</v>
      </c>
      <c r="Y74" s="98">
        <v>6.5</v>
      </c>
      <c r="Z74" s="99">
        <v>0</v>
      </c>
    </row>
    <row r="75" spans="1:26">
      <c r="A75" s="78">
        <f t="shared" si="13"/>
        <v>45364</v>
      </c>
      <c r="B75" s="91">
        <v>29.736000000000001</v>
      </c>
      <c r="C75" s="92">
        <f t="shared" si="8"/>
        <v>1006.97633568</v>
      </c>
      <c r="D75" s="92">
        <v>75.599999999999994</v>
      </c>
      <c r="E75" s="92">
        <f>(C75-0.163*((D75-32)*5/9) + (0.5685 *((C75-0.163*((D75-32)*5/9)))/1000)) *EXP([3]Calc!$C$14/((M75+273.15)+((0.0065*64.6)/2)+(0.12*0.85*((6.112*EXP((17.67*M75)/(M75+243.5)))))))</f>
        <v>1011.3601509295715</v>
      </c>
      <c r="F75" s="93">
        <v>8</v>
      </c>
      <c r="G75" s="94">
        <v>16</v>
      </c>
      <c r="H75" s="94">
        <f t="shared" si="9"/>
        <v>11.2</v>
      </c>
      <c r="I75" s="84">
        <v>8</v>
      </c>
      <c r="J75" s="95">
        <v>2</v>
      </c>
      <c r="K75" s="84">
        <v>1</v>
      </c>
      <c r="L75" s="84">
        <v>0</v>
      </c>
      <c r="M75" s="96">
        <v>11.7</v>
      </c>
      <c r="N75" s="96">
        <v>10.4</v>
      </c>
      <c r="O75" s="93">
        <f t="shared" si="10"/>
        <v>84.160852428317426</v>
      </c>
      <c r="P75" s="96">
        <f t="shared" si="12"/>
        <v>9.1162809756377623</v>
      </c>
      <c r="Q75" s="97">
        <v>9.6</v>
      </c>
      <c r="R75" s="96">
        <v>9</v>
      </c>
      <c r="S75" s="96">
        <v>8.3000000000000007</v>
      </c>
      <c r="T75" s="96">
        <v>13.7</v>
      </c>
      <c r="U75" s="96">
        <v>9.1</v>
      </c>
      <c r="V75" s="96">
        <f t="shared" si="11"/>
        <v>11.399999999999999</v>
      </c>
      <c r="W75" s="96">
        <v>8.4</v>
      </c>
      <c r="X75" s="96">
        <v>8.9</v>
      </c>
      <c r="Y75" s="98" t="s">
        <v>22</v>
      </c>
      <c r="Z75" s="99">
        <v>0</v>
      </c>
    </row>
    <row r="76" spans="1:26">
      <c r="A76" s="78">
        <f t="shared" si="13"/>
        <v>45365</v>
      </c>
      <c r="B76" s="91">
        <v>29.57</v>
      </c>
      <c r="C76" s="92">
        <f t="shared" si="8"/>
        <v>1001.3549316000001</v>
      </c>
      <c r="D76" s="92">
        <v>75</v>
      </c>
      <c r="E76" s="92">
        <f>(C76-0.163*((D76-32)*5/9) + (0.5685 *((C76-0.163*((D76-32)*5/9)))/1000)) *EXP([3]Calc!$C$14/((M76+273.15)+((0.0065*64.6)/2)+(0.12*0.85*((6.112*EXP((17.67*M76)/(M76+243.5)))))))</f>
        <v>1005.7705043707514</v>
      </c>
      <c r="F76" s="93">
        <v>8</v>
      </c>
      <c r="G76" s="94">
        <v>14</v>
      </c>
      <c r="H76" s="94">
        <f t="shared" si="9"/>
        <v>9.7999999999999989</v>
      </c>
      <c r="I76" s="84">
        <v>7</v>
      </c>
      <c r="J76" s="95">
        <v>2</v>
      </c>
      <c r="K76" s="84">
        <v>1</v>
      </c>
      <c r="L76" s="84">
        <v>0</v>
      </c>
      <c r="M76" s="96">
        <v>10.9</v>
      </c>
      <c r="N76" s="96">
        <v>9.6</v>
      </c>
      <c r="O76" s="93">
        <f t="shared" si="10"/>
        <v>83.698743723865761</v>
      </c>
      <c r="P76" s="96">
        <f t="shared" si="12"/>
        <v>8.2512438461544129</v>
      </c>
      <c r="Q76" s="97">
        <v>9.6</v>
      </c>
      <c r="R76" s="96">
        <v>9.5</v>
      </c>
      <c r="S76" s="96">
        <v>8.4</v>
      </c>
      <c r="T76" s="96">
        <v>15.4</v>
      </c>
      <c r="U76" s="96">
        <v>10</v>
      </c>
      <c r="V76" s="96">
        <f t="shared" si="11"/>
        <v>12.7</v>
      </c>
      <c r="W76" s="96">
        <v>8.5</v>
      </c>
      <c r="X76" s="96">
        <v>9.1</v>
      </c>
      <c r="Y76" s="98">
        <v>1.4</v>
      </c>
      <c r="Z76" s="99">
        <v>0.7</v>
      </c>
    </row>
    <row r="77" spans="1:26">
      <c r="A77" s="78">
        <f t="shared" si="13"/>
        <v>45366</v>
      </c>
      <c r="B77" s="91">
        <v>29.45</v>
      </c>
      <c r="C77" s="92">
        <f t="shared" si="8"/>
        <v>997.29126600000006</v>
      </c>
      <c r="D77" s="92">
        <v>74.8</v>
      </c>
      <c r="E77" s="92">
        <f>(C77-0.163*((D77-32)*5/9) + (0.5685 *((C77-0.163*((D77-32)*5/9)))/1000)) *EXP([3]Calc!$C$14/((M77+273.15)+((0.0065*64.6)/2)+(0.12*0.85*((6.112*EXP((17.67*M77)/(M77+243.5)))))))</f>
        <v>1001.6236106099228</v>
      </c>
      <c r="F77" s="93">
        <v>6</v>
      </c>
      <c r="G77" s="94">
        <v>16</v>
      </c>
      <c r="H77" s="94">
        <f t="shared" si="9"/>
        <v>11.2</v>
      </c>
      <c r="I77" s="84">
        <v>7</v>
      </c>
      <c r="J77" s="95">
        <v>2</v>
      </c>
      <c r="K77" s="84">
        <v>1</v>
      </c>
      <c r="L77" s="84">
        <v>0</v>
      </c>
      <c r="M77" s="96">
        <v>13.2</v>
      </c>
      <c r="N77" s="96">
        <v>11.4</v>
      </c>
      <c r="O77" s="93">
        <f t="shared" si="10"/>
        <v>79.340834515711094</v>
      </c>
      <c r="P77" s="96">
        <f t="shared" si="12"/>
        <v>9.7041173114474137</v>
      </c>
      <c r="Q77" s="97">
        <v>10</v>
      </c>
      <c r="R77" s="96">
        <v>10</v>
      </c>
      <c r="S77" s="96">
        <v>8.8000000000000007</v>
      </c>
      <c r="T77" s="96">
        <v>15.5</v>
      </c>
      <c r="U77" s="96">
        <v>10.6</v>
      </c>
      <c r="V77" s="96">
        <f t="shared" si="11"/>
        <v>13.05</v>
      </c>
      <c r="W77" s="96">
        <v>7.5</v>
      </c>
      <c r="X77" s="96">
        <v>8.6</v>
      </c>
      <c r="Y77" s="98">
        <v>0.4</v>
      </c>
      <c r="Z77" s="99">
        <v>4.5999999999999996</v>
      </c>
    </row>
    <row r="78" spans="1:26">
      <c r="A78" s="78">
        <f t="shared" si="13"/>
        <v>45367</v>
      </c>
      <c r="B78" s="91">
        <v>29.93</v>
      </c>
      <c r="C78" s="92">
        <f t="shared" si="8"/>
        <v>1013.5459284000001</v>
      </c>
      <c r="D78" s="92">
        <v>73</v>
      </c>
      <c r="E78" s="92">
        <f>(C78-0.163*((D78-32)*5/9) + (0.5685 *((C78-0.163*((D78-32)*5/9)))/1000)) *EXP([3]Calc!$C$14/((M78+273.15)+((0.0065*64.6)/2)+(0.12*0.85*((6.112*EXP((17.67*M78)/(M78+243.5)))))))</f>
        <v>1018.2937748956226</v>
      </c>
      <c r="F78" s="93">
        <v>2</v>
      </c>
      <c r="G78" s="94">
        <v>2</v>
      </c>
      <c r="H78" s="94">
        <f t="shared" si="9"/>
        <v>1.4</v>
      </c>
      <c r="I78" s="84">
        <v>8</v>
      </c>
      <c r="J78" s="95">
        <v>2</v>
      </c>
      <c r="K78" s="84">
        <v>1</v>
      </c>
      <c r="L78" s="84">
        <v>0</v>
      </c>
      <c r="M78" s="96">
        <v>9.3000000000000007</v>
      </c>
      <c r="N78" s="96">
        <v>7.3</v>
      </c>
      <c r="O78" s="93">
        <f t="shared" si="10"/>
        <v>73.642715662702543</v>
      </c>
      <c r="P78" s="96">
        <f t="shared" si="12"/>
        <v>4.835996535378734</v>
      </c>
      <c r="Q78" s="97">
        <v>7.6</v>
      </c>
      <c r="R78" s="96">
        <v>9.8000000000000007</v>
      </c>
      <c r="S78" s="96">
        <v>8.9</v>
      </c>
      <c r="T78" s="96">
        <v>11.5</v>
      </c>
      <c r="U78" s="96">
        <v>3.9</v>
      </c>
      <c r="V78" s="96">
        <f t="shared" si="11"/>
        <v>7.7</v>
      </c>
      <c r="W78" s="96">
        <v>1</v>
      </c>
      <c r="X78" s="96">
        <v>2.2000000000000002</v>
      </c>
      <c r="Y78" s="98">
        <v>9.5</v>
      </c>
      <c r="Z78" s="99">
        <v>3.4</v>
      </c>
    </row>
    <row r="79" spans="1:26">
      <c r="A79" s="78">
        <f t="shared" si="13"/>
        <v>45368</v>
      </c>
      <c r="B79" s="91">
        <v>29.75</v>
      </c>
      <c r="C79" s="92">
        <f t="shared" si="8"/>
        <v>1007.4504300000001</v>
      </c>
      <c r="D79" s="92">
        <v>75</v>
      </c>
      <c r="E79" s="92">
        <f>(C79-0.163*((D79-32)*5/9) + (0.5685 *((C79-0.163*((D79-32)*5/9)))/1000)) *EXP([3]Calc!$C$14/((M79+273.15)+((0.0065*64.6)/2)+(0.12*0.85*((6.112*EXP((17.67*M79)/(M79+243.5)))))))</f>
        <v>1011.8989166404837</v>
      </c>
      <c r="F79" s="93">
        <v>8</v>
      </c>
      <c r="G79" s="94">
        <v>0</v>
      </c>
      <c r="H79" s="94">
        <f t="shared" si="9"/>
        <v>0</v>
      </c>
      <c r="I79" s="84">
        <v>6</v>
      </c>
      <c r="J79" s="95">
        <v>58</v>
      </c>
      <c r="K79" s="84">
        <v>2</v>
      </c>
      <c r="L79" s="84">
        <v>0</v>
      </c>
      <c r="M79" s="96">
        <v>11.5</v>
      </c>
      <c r="N79" s="96">
        <v>11.3</v>
      </c>
      <c r="O79" s="93">
        <f t="shared" si="10"/>
        <v>97.504384620562547</v>
      </c>
      <c r="P79" s="96">
        <f t="shared" si="12"/>
        <v>11.118627949793915</v>
      </c>
      <c r="Q79" s="97">
        <v>10</v>
      </c>
      <c r="R79" s="96">
        <v>9.8000000000000007</v>
      </c>
      <c r="S79" s="96">
        <v>9</v>
      </c>
      <c r="T79" s="96">
        <v>16.2</v>
      </c>
      <c r="U79" s="96">
        <v>9</v>
      </c>
      <c r="V79" s="96">
        <f t="shared" si="11"/>
        <v>12.6</v>
      </c>
      <c r="W79" s="96">
        <v>8</v>
      </c>
      <c r="X79" s="96">
        <v>7.8</v>
      </c>
      <c r="Y79" s="98">
        <v>1</v>
      </c>
      <c r="Z79" s="99">
        <v>3.4</v>
      </c>
    </row>
    <row r="80" spans="1:26">
      <c r="A80" s="78">
        <f t="shared" si="13"/>
        <v>45369</v>
      </c>
      <c r="B80" s="91">
        <v>29.846</v>
      </c>
      <c r="C80" s="92">
        <f t="shared" si="8"/>
        <v>1010.7013624800001</v>
      </c>
      <c r="D80" s="92">
        <v>75.5</v>
      </c>
      <c r="E80" s="92">
        <f>(C80-0.163*((D80-32)*5/9) + (0.5685 *((C80-0.163*((D80-32)*5/9)))/1000)) *EXP([3]Calc!$C$14/((M80+273.15)+((0.0065*64.6)/2)+(0.12*0.85*((6.112*EXP((17.67*M80)/(M80+243.5)))))))</f>
        <v>1015.1760842234155</v>
      </c>
      <c r="F80" s="93">
        <v>3</v>
      </c>
      <c r="G80" s="94">
        <v>6</v>
      </c>
      <c r="H80" s="94">
        <f t="shared" si="9"/>
        <v>4.1999999999999993</v>
      </c>
      <c r="I80" s="84">
        <v>8</v>
      </c>
      <c r="J80" s="95">
        <v>2</v>
      </c>
      <c r="K80" s="84">
        <v>1</v>
      </c>
      <c r="L80" s="84">
        <v>0</v>
      </c>
      <c r="M80" s="96">
        <v>10</v>
      </c>
      <c r="N80" s="96">
        <v>9.4</v>
      </c>
      <c r="O80" s="93">
        <f t="shared" si="10"/>
        <v>92.141759197840358</v>
      </c>
      <c r="P80" s="96">
        <f t="shared" si="12"/>
        <v>8.7835137530714764</v>
      </c>
      <c r="Q80" s="97">
        <v>10</v>
      </c>
      <c r="R80" s="96">
        <v>10.3</v>
      </c>
      <c r="S80" s="96">
        <v>8.3000000000000007</v>
      </c>
      <c r="T80" s="96">
        <v>15.8</v>
      </c>
      <c r="U80" s="96">
        <v>6.3</v>
      </c>
      <c r="V80" s="96">
        <f t="shared" si="11"/>
        <v>11.05</v>
      </c>
      <c r="W80" s="96">
        <v>2.8</v>
      </c>
      <c r="X80" s="96">
        <v>4.4000000000000004</v>
      </c>
      <c r="Y80" s="98">
        <v>0.2</v>
      </c>
      <c r="Z80" s="99">
        <v>3.5</v>
      </c>
    </row>
    <row r="81" spans="1:26">
      <c r="A81" s="78">
        <f t="shared" si="13"/>
        <v>45370</v>
      </c>
      <c r="B81" s="91">
        <v>29.802</v>
      </c>
      <c r="C81" s="92">
        <f t="shared" si="8"/>
        <v>1009.2113517600001</v>
      </c>
      <c r="D81" s="92">
        <v>73.2</v>
      </c>
      <c r="E81" s="92">
        <f>(C81-0.163*((D81-32)*5/9) + (0.5685 *((C81-0.163*((D81-32)*5/9)))/1000)) *EXP([3]Calc!$C$14/((M81+273.15)+((0.0065*64.6)/2)+(0.12*0.85*((6.112*EXP((17.67*M81)/(M81+243.5)))))))</f>
        <v>1013.835851251666</v>
      </c>
      <c r="F81" s="93">
        <v>8</v>
      </c>
      <c r="G81" s="94">
        <v>13</v>
      </c>
      <c r="H81" s="94">
        <f t="shared" si="9"/>
        <v>9.1</v>
      </c>
      <c r="I81" s="84">
        <v>8</v>
      </c>
      <c r="J81" s="95">
        <v>2</v>
      </c>
      <c r="K81" s="84">
        <v>1</v>
      </c>
      <c r="L81" s="84">
        <v>0</v>
      </c>
      <c r="M81" s="96">
        <v>11.6</v>
      </c>
      <c r="N81" s="96">
        <v>10.6</v>
      </c>
      <c r="O81" s="93">
        <f t="shared" si="10"/>
        <v>87.717021078845903</v>
      </c>
      <c r="P81" s="96">
        <f t="shared" si="12"/>
        <v>9.6331331699593079</v>
      </c>
      <c r="Q81" s="97">
        <v>10.4</v>
      </c>
      <c r="R81" s="96">
        <v>10.4</v>
      </c>
      <c r="S81" s="96">
        <v>9.1999999999999993</v>
      </c>
      <c r="T81" s="96">
        <v>15.4</v>
      </c>
      <c r="U81" s="96">
        <v>10</v>
      </c>
      <c r="V81" s="96">
        <f t="shared" si="11"/>
        <v>12.7</v>
      </c>
      <c r="W81" s="96">
        <v>7.5</v>
      </c>
      <c r="X81" s="96">
        <v>9.1</v>
      </c>
      <c r="Y81" s="98">
        <v>1.6</v>
      </c>
      <c r="Z81" s="99">
        <v>2</v>
      </c>
    </row>
    <row r="82" spans="1:26">
      <c r="A82" s="78">
        <f t="shared" si="13"/>
        <v>45371</v>
      </c>
      <c r="B82" s="91">
        <v>29.93</v>
      </c>
      <c r="C82" s="92">
        <f t="shared" si="8"/>
        <v>1013.5459284000001</v>
      </c>
      <c r="D82" s="92">
        <v>74.599999999999994</v>
      </c>
      <c r="E82" s="92">
        <f>(C82-0.163*((D82-32)*5/9) + (0.5685 *((C82-0.163*((D82-32)*5/9)))/1000)) *EXP([3]Calc!$C$14/((M82+273.15)+((0.0065*64.6)/2)+(0.12*0.85*((6.112*EXP((17.67*M82)/(M82+243.5)))))))</f>
        <v>1018.0726330967816</v>
      </c>
      <c r="F82" s="93">
        <v>8</v>
      </c>
      <c r="G82" s="94">
        <v>3</v>
      </c>
      <c r="H82" s="94">
        <f t="shared" si="9"/>
        <v>2.0999999999999996</v>
      </c>
      <c r="I82" s="84">
        <v>8</v>
      </c>
      <c r="J82" s="95">
        <v>60</v>
      </c>
      <c r="K82" s="84">
        <v>1</v>
      </c>
      <c r="L82" s="84">
        <v>0</v>
      </c>
      <c r="M82" s="96">
        <v>11.8</v>
      </c>
      <c r="N82" s="96">
        <v>11.1</v>
      </c>
      <c r="O82" s="93">
        <f t="shared" si="10"/>
        <v>91.423385324119792</v>
      </c>
      <c r="P82" s="96">
        <f t="shared" si="12"/>
        <v>10.448850786052455</v>
      </c>
      <c r="Q82" s="97">
        <v>13.5</v>
      </c>
      <c r="R82" s="96">
        <v>11</v>
      </c>
      <c r="S82" s="96">
        <v>9.4</v>
      </c>
      <c r="T82" s="96">
        <v>16.100000000000001</v>
      </c>
      <c r="U82" s="96">
        <v>10.8</v>
      </c>
      <c r="V82" s="96">
        <f t="shared" si="11"/>
        <v>13.450000000000001</v>
      </c>
      <c r="W82" s="96">
        <v>8.1</v>
      </c>
      <c r="X82" s="96">
        <v>9.1</v>
      </c>
      <c r="Y82" s="98">
        <v>0.1</v>
      </c>
      <c r="Z82" s="99">
        <v>2.2000000000000002</v>
      </c>
    </row>
    <row r="83" spans="1:26">
      <c r="A83" s="78">
        <f t="shared" si="13"/>
        <v>45372</v>
      </c>
      <c r="B83" s="91">
        <v>30.17</v>
      </c>
      <c r="C83" s="92">
        <f t="shared" si="8"/>
        <v>1021.6732596000002</v>
      </c>
      <c r="D83" s="92">
        <v>73.400000000000006</v>
      </c>
      <c r="E83" s="92">
        <f>(C83-0.163*((D83-32)*5/9) + (0.5685 *((C83-0.163*((D83-32)*5/9)))/1000)) *EXP([3]Calc!$C$14/((M83+273.15)+((0.0065*64.6)/2)+(0.12*0.85*((6.112*EXP((17.67*M83)/(M83+243.5)))))))</f>
        <v>1026.401170057507</v>
      </c>
      <c r="F83" s="93">
        <v>8</v>
      </c>
      <c r="G83" s="94">
        <v>5</v>
      </c>
      <c r="H83" s="94">
        <f t="shared" si="9"/>
        <v>3.5</v>
      </c>
      <c r="I83" s="84">
        <v>8</v>
      </c>
      <c r="J83" s="95">
        <v>2</v>
      </c>
      <c r="K83" s="84">
        <v>1</v>
      </c>
      <c r="L83" s="84">
        <v>0</v>
      </c>
      <c r="M83" s="96">
        <v>11</v>
      </c>
      <c r="N83" s="96">
        <v>9.8000000000000007</v>
      </c>
      <c r="O83" s="93">
        <f t="shared" si="10"/>
        <v>84.984885710170133</v>
      </c>
      <c r="P83" s="96">
        <f t="shared" si="12"/>
        <v>8.5741746445935085</v>
      </c>
      <c r="Q83" s="97">
        <v>11</v>
      </c>
      <c r="R83" s="96">
        <v>11.4</v>
      </c>
      <c r="S83" s="96">
        <v>9.5</v>
      </c>
      <c r="T83" s="96">
        <v>16.600000000000001</v>
      </c>
      <c r="U83" s="96">
        <v>8.8000000000000007</v>
      </c>
      <c r="V83" s="96">
        <f t="shared" si="11"/>
        <v>12.700000000000001</v>
      </c>
      <c r="W83" s="96">
        <v>5.4</v>
      </c>
      <c r="X83" s="96">
        <v>7.3</v>
      </c>
      <c r="Y83" s="98">
        <v>0.2</v>
      </c>
      <c r="Z83" s="99">
        <v>2.7</v>
      </c>
    </row>
    <row r="84" spans="1:26">
      <c r="A84" s="78">
        <f t="shared" si="13"/>
        <v>45373</v>
      </c>
      <c r="B84" s="91">
        <v>29.91</v>
      </c>
      <c r="C84" s="92">
        <f t="shared" si="8"/>
        <v>1012.8686508000001</v>
      </c>
      <c r="D84" s="92">
        <v>73.400000000000006</v>
      </c>
      <c r="E84" s="92">
        <f>(C84-0.163*((D84-32)*5/9) + (0.5685 *((C84-0.163*((D84-32)*5/9)))/1000)) *EXP([3]Calc!$C$14/((M84+273.15)+((0.0065*64.6)/2)+(0.12*0.85*((6.112*EXP((17.67*M84)/(M84+243.5)))))))</f>
        <v>1017.5442314068875</v>
      </c>
      <c r="F84" s="93">
        <v>8</v>
      </c>
      <c r="G84" s="94">
        <v>10</v>
      </c>
      <c r="H84" s="94">
        <f t="shared" si="9"/>
        <v>7</v>
      </c>
      <c r="I84" s="84">
        <v>8</v>
      </c>
      <c r="J84" s="95">
        <v>60</v>
      </c>
      <c r="K84" s="84">
        <v>1</v>
      </c>
      <c r="L84" s="84">
        <v>0</v>
      </c>
      <c r="M84" s="96">
        <v>10.3</v>
      </c>
      <c r="N84" s="96">
        <v>8.9</v>
      </c>
      <c r="O84" s="93">
        <f t="shared" si="10"/>
        <v>82.079814971166797</v>
      </c>
      <c r="P84" s="96">
        <f t="shared" si="12"/>
        <v>7.3776187614677093</v>
      </c>
      <c r="Q84" s="97">
        <v>10.8</v>
      </c>
      <c r="R84" s="96">
        <v>11.5</v>
      </c>
      <c r="S84" s="96">
        <v>9.8000000000000007</v>
      </c>
      <c r="T84" s="96">
        <v>12.8</v>
      </c>
      <c r="U84" s="96">
        <v>9.1</v>
      </c>
      <c r="V84" s="96">
        <f t="shared" si="11"/>
        <v>10.95</v>
      </c>
      <c r="W84" s="96">
        <v>7.8</v>
      </c>
      <c r="X84" s="96">
        <v>8.9</v>
      </c>
      <c r="Y84" s="98">
        <v>0</v>
      </c>
      <c r="Z84" s="99">
        <v>2.2999999999999998</v>
      </c>
    </row>
    <row r="85" spans="1:26">
      <c r="A85" s="78">
        <f t="shared" si="13"/>
        <v>45374</v>
      </c>
      <c r="B85" s="91">
        <v>29.788</v>
      </c>
      <c r="C85" s="92">
        <f t="shared" si="8"/>
        <v>1008.73725744</v>
      </c>
      <c r="D85" s="92">
        <v>74.7</v>
      </c>
      <c r="E85" s="92">
        <f>(C85-0.163*((D85-32)*5/9) + (0.5685 *((C85-0.163*((D85-32)*5/9)))/1000)) *EXP([3]Calc!$C$14/((M85+273.15)+((0.0065*64.6)/2)+(0.12*0.85*((6.112*EXP((17.67*M85)/(M85+243.5)))))))</f>
        <v>1013.3316600173092</v>
      </c>
      <c r="F85" s="93">
        <v>3</v>
      </c>
      <c r="G85" s="94">
        <v>15</v>
      </c>
      <c r="H85" s="94">
        <f t="shared" si="9"/>
        <v>10.5</v>
      </c>
      <c r="I85" s="84">
        <v>8</v>
      </c>
      <c r="J85" s="95">
        <v>2</v>
      </c>
      <c r="K85" s="84">
        <v>1</v>
      </c>
      <c r="L85" s="84">
        <v>0</v>
      </c>
      <c r="M85" s="96">
        <v>7.9</v>
      </c>
      <c r="N85" s="96">
        <v>5.0999999999999996</v>
      </c>
      <c r="O85" s="93">
        <f t="shared" si="10"/>
        <v>61.433838049325807</v>
      </c>
      <c r="P85" s="96">
        <f t="shared" si="12"/>
        <v>0.94142645805386815</v>
      </c>
      <c r="Q85" s="97">
        <v>6.8</v>
      </c>
      <c r="R85" s="96">
        <v>10.5</v>
      </c>
      <c r="S85" s="96">
        <v>9.9</v>
      </c>
      <c r="T85" s="96">
        <v>10.6</v>
      </c>
      <c r="U85" s="96">
        <v>3.4</v>
      </c>
      <c r="V85" s="96">
        <f t="shared" si="11"/>
        <v>7</v>
      </c>
      <c r="W85" s="96">
        <v>1.4</v>
      </c>
      <c r="X85" s="96">
        <v>2.4</v>
      </c>
      <c r="Y85" s="98">
        <v>0</v>
      </c>
      <c r="Z85" s="99">
        <v>5.8</v>
      </c>
    </row>
    <row r="86" spans="1:26">
      <c r="A86" s="78">
        <f t="shared" si="13"/>
        <v>45375</v>
      </c>
      <c r="B86" s="91">
        <v>29.718</v>
      </c>
      <c r="C86" s="92">
        <f t="shared" si="8"/>
        <v>1006.36678584</v>
      </c>
      <c r="D86" s="92">
        <v>75.599999999999994</v>
      </c>
      <c r="E86" s="92">
        <f>(C86-0.163*((D86-32)*5/9) + (0.5685 *((C86-0.163*((D86-32)*5/9)))/1000)) *EXP([3]Calc!$C$14/((M86+273.15)+((0.0065*64.6)/2)+(0.12*0.85*((6.112*EXP((17.67*M86)/(M86+243.5)))))))</f>
        <v>1010.8380299392165</v>
      </c>
      <c r="F86" s="93">
        <v>6</v>
      </c>
      <c r="G86" s="94">
        <v>12</v>
      </c>
      <c r="H86" s="94">
        <f t="shared" si="9"/>
        <v>8.3999999999999986</v>
      </c>
      <c r="I86" s="84">
        <v>8</v>
      </c>
      <c r="J86" s="95">
        <v>2</v>
      </c>
      <c r="K86" s="84">
        <v>1</v>
      </c>
      <c r="L86" s="84">
        <v>0</v>
      </c>
      <c r="M86" s="96">
        <v>8.6</v>
      </c>
      <c r="N86" s="96">
        <v>6.3</v>
      </c>
      <c r="O86" s="93">
        <f t="shared" si="10"/>
        <v>68.982217287955336</v>
      </c>
      <c r="P86" s="96">
        <f t="shared" si="12"/>
        <v>3.2319960948253108</v>
      </c>
      <c r="Q86" s="97">
        <v>7.1</v>
      </c>
      <c r="R86" s="96">
        <v>9.6</v>
      </c>
      <c r="S86" s="96">
        <v>10</v>
      </c>
      <c r="T86" s="96">
        <v>14.8</v>
      </c>
      <c r="U86" s="96">
        <v>4.7</v>
      </c>
      <c r="V86" s="96">
        <f t="shared" si="11"/>
        <v>9.75</v>
      </c>
      <c r="W86" s="96">
        <v>1.8</v>
      </c>
      <c r="X86" s="96">
        <v>3.1</v>
      </c>
      <c r="Y86" s="98">
        <v>0.8</v>
      </c>
      <c r="Z86" s="99">
        <v>9.1</v>
      </c>
    </row>
    <row r="87" spans="1:26">
      <c r="A87" s="78">
        <f t="shared" si="13"/>
        <v>45376</v>
      </c>
      <c r="B87" s="91">
        <v>29.456</v>
      </c>
      <c r="C87" s="92">
        <f t="shared" si="8"/>
        <v>997.49444928000003</v>
      </c>
      <c r="D87" s="92">
        <v>74</v>
      </c>
      <c r="E87" s="92">
        <f>(C87-0.163*((D87-32)*5/9) + (0.5685 *((C87-0.163*((D87-32)*5/9)))/1000)) *EXP([3]Calc!$C$14/((M87+273.15)+((0.0065*64.6)/2)+(0.12*0.85*((6.112*EXP((17.67*M87)/(M87+243.5)))))))</f>
        <v>1002.070034202504</v>
      </c>
      <c r="F87" s="93">
        <v>8</v>
      </c>
      <c r="G87" s="94">
        <v>7</v>
      </c>
      <c r="H87" s="94">
        <f t="shared" si="9"/>
        <v>4.8999999999999995</v>
      </c>
      <c r="I87" s="84">
        <v>8</v>
      </c>
      <c r="J87" s="95">
        <v>2</v>
      </c>
      <c r="K87" s="84">
        <v>1</v>
      </c>
      <c r="L87" s="84">
        <v>0</v>
      </c>
      <c r="M87" s="96">
        <v>7.5</v>
      </c>
      <c r="N87" s="96">
        <v>6.5</v>
      </c>
      <c r="O87" s="93">
        <f t="shared" si="10"/>
        <v>85.653222243385997</v>
      </c>
      <c r="P87" s="96">
        <f t="shared" si="12"/>
        <v>5.2527329127450377</v>
      </c>
      <c r="Q87" s="97">
        <v>8.5</v>
      </c>
      <c r="R87" s="96">
        <v>9.6999999999999993</v>
      </c>
      <c r="S87" s="96">
        <v>10</v>
      </c>
      <c r="T87" s="96">
        <v>11.7</v>
      </c>
      <c r="U87" s="96">
        <v>4.5999999999999996</v>
      </c>
      <c r="V87" s="96">
        <f t="shared" si="11"/>
        <v>8.1499999999999986</v>
      </c>
      <c r="W87" s="96">
        <v>2.5</v>
      </c>
      <c r="X87" s="96">
        <v>5.7</v>
      </c>
      <c r="Y87" s="98">
        <v>0.2</v>
      </c>
      <c r="Z87" s="99">
        <v>0.2</v>
      </c>
    </row>
    <row r="88" spans="1:26">
      <c r="A88" s="78">
        <f t="shared" si="13"/>
        <v>45377</v>
      </c>
      <c r="B88" s="91">
        <v>29.12</v>
      </c>
      <c r="C88" s="92">
        <f t="shared" si="8"/>
        <v>986.11618560000011</v>
      </c>
      <c r="D88" s="92">
        <v>74</v>
      </c>
      <c r="E88" s="92">
        <f>(C88-0.163*((D88-32)*5/9) + (0.5685 *((C88-0.163*((D88-32)*5/9)))/1000)) *EXP([3]Calc!$C$14/((M88+273.15)+((0.0065*64.6)/2)+(0.12*0.85*((6.112*EXP((17.67*M88)/(M88+243.5)))))))</f>
        <v>990.5077951284286</v>
      </c>
      <c r="F88" s="93">
        <v>1</v>
      </c>
      <c r="G88" s="94">
        <v>0</v>
      </c>
      <c r="H88" s="94">
        <f t="shared" si="9"/>
        <v>0</v>
      </c>
      <c r="I88" s="84">
        <v>8</v>
      </c>
      <c r="J88" s="95">
        <v>2</v>
      </c>
      <c r="K88" s="84">
        <v>1</v>
      </c>
      <c r="L88" s="84">
        <v>0</v>
      </c>
      <c r="M88" s="96">
        <v>10.5</v>
      </c>
      <c r="N88" s="96">
        <v>7.7</v>
      </c>
      <c r="O88" s="93">
        <f t="shared" si="10"/>
        <v>65.140241440454616</v>
      </c>
      <c r="P88" s="96">
        <f t="shared" si="12"/>
        <v>4.2315560724162413</v>
      </c>
      <c r="Q88" s="97">
        <v>8.5</v>
      </c>
      <c r="R88" s="96">
        <v>9.6</v>
      </c>
      <c r="S88" s="96">
        <v>9.9</v>
      </c>
      <c r="T88" s="100">
        <v>15.2</v>
      </c>
      <c r="U88" s="96">
        <v>6.9</v>
      </c>
      <c r="V88" s="96">
        <f t="shared" si="11"/>
        <v>11.05</v>
      </c>
      <c r="W88" s="96">
        <v>4.9000000000000004</v>
      </c>
      <c r="X88" s="96">
        <v>6</v>
      </c>
      <c r="Y88" s="98">
        <v>10.1</v>
      </c>
      <c r="Z88" s="99">
        <v>3.7</v>
      </c>
    </row>
    <row r="89" spans="1:26">
      <c r="A89" s="78">
        <f t="shared" si="13"/>
        <v>45378</v>
      </c>
      <c r="B89" s="91">
        <v>28.8</v>
      </c>
      <c r="C89" s="92">
        <f t="shared" si="8"/>
        <v>975.27974400000005</v>
      </c>
      <c r="D89" s="92">
        <v>73.5</v>
      </c>
      <c r="E89" s="92">
        <f>(C89-0.163*((D89-32)*5/9) + (0.5685 *((C89-0.163*((D89-32)*5/9)))/1000)) *EXP([3]Calc!$C$14/((M89+273.15)+((0.0065*64.6)/2)+(0.12*0.85*((6.112*EXP((17.67*M89)/(M89+243.5)))))))</f>
        <v>979.67293413656876</v>
      </c>
      <c r="F89" s="93">
        <v>7</v>
      </c>
      <c r="G89" s="94">
        <v>16</v>
      </c>
      <c r="H89" s="94">
        <f t="shared" si="9"/>
        <v>11.2</v>
      </c>
      <c r="I89" s="84">
        <v>8</v>
      </c>
      <c r="J89" s="95">
        <v>2</v>
      </c>
      <c r="K89" s="84">
        <v>1</v>
      </c>
      <c r="L89" s="84">
        <v>0</v>
      </c>
      <c r="M89" s="100">
        <v>8.9</v>
      </c>
      <c r="N89" s="100">
        <v>6.7</v>
      </c>
      <c r="O89" s="101">
        <f t="shared" si="10"/>
        <v>70.636946618520227</v>
      </c>
      <c r="P89" s="100">
        <f t="shared" si="12"/>
        <v>3.8559768580106644</v>
      </c>
      <c r="Q89" s="97">
        <v>8.1999999999999993</v>
      </c>
      <c r="R89" s="96">
        <v>10.1</v>
      </c>
      <c r="S89" s="96">
        <v>9.9</v>
      </c>
      <c r="T89" s="96">
        <v>10.1</v>
      </c>
      <c r="U89" s="100">
        <v>4.7</v>
      </c>
      <c r="V89" s="96">
        <f t="shared" si="11"/>
        <v>7.4</v>
      </c>
      <c r="W89" s="96">
        <v>2.1</v>
      </c>
      <c r="X89" s="96">
        <v>4.0999999999999996</v>
      </c>
      <c r="Y89" s="98">
        <v>11.5</v>
      </c>
      <c r="Z89" s="99">
        <v>4.5999999999999996</v>
      </c>
    </row>
    <row r="90" spans="1:26">
      <c r="A90" s="78">
        <f t="shared" si="13"/>
        <v>45379</v>
      </c>
      <c r="B90" s="91">
        <v>28.73</v>
      </c>
      <c r="C90" s="92">
        <f t="shared" si="8"/>
        <v>972.90927240000008</v>
      </c>
      <c r="D90" s="92">
        <v>71.7</v>
      </c>
      <c r="E90" s="92">
        <f>(C90-0.163*((D90-32)*5/9) + (0.5685 *((C90-0.163*((D90-32)*5/9)))/1000)) *EXP([3]Calc!$C$14/((M90+273.15)+((0.0065*64.6)/2)+(0.12*0.85*((6.112*EXP((17.67*M90)/(M90+243.5)))))))</f>
        <v>977.48467650274097</v>
      </c>
      <c r="F90" s="93">
        <v>5</v>
      </c>
      <c r="G90" s="94">
        <v>13</v>
      </c>
      <c r="H90" s="94">
        <f t="shared" si="9"/>
        <v>9.1</v>
      </c>
      <c r="I90" s="84">
        <v>8</v>
      </c>
      <c r="J90" s="95">
        <v>3</v>
      </c>
      <c r="K90" s="84">
        <v>1</v>
      </c>
      <c r="L90" s="84">
        <v>0</v>
      </c>
      <c r="M90" s="96">
        <v>7.6</v>
      </c>
      <c r="N90" s="96">
        <v>5.5</v>
      </c>
      <c r="O90" s="93">
        <f t="shared" si="10"/>
        <v>70.443092282458949</v>
      </c>
      <c r="P90" s="96">
        <f t="shared" si="12"/>
        <v>2.568608279220618</v>
      </c>
      <c r="Q90" s="97">
        <v>7.2</v>
      </c>
      <c r="R90" s="96">
        <v>9.6</v>
      </c>
      <c r="S90" s="96">
        <v>10</v>
      </c>
      <c r="T90" s="96">
        <v>13.2</v>
      </c>
      <c r="U90" s="96">
        <v>2.8</v>
      </c>
      <c r="V90" s="96">
        <f t="shared" si="11"/>
        <v>8</v>
      </c>
      <c r="W90" s="96">
        <v>0.8</v>
      </c>
      <c r="X90" s="96">
        <v>2.5</v>
      </c>
      <c r="Y90" s="98">
        <v>10.9</v>
      </c>
      <c r="Z90" s="99">
        <v>2.7</v>
      </c>
    </row>
    <row r="91" spans="1:26">
      <c r="A91" s="78">
        <f t="shared" si="13"/>
        <v>45380</v>
      </c>
      <c r="B91" s="91">
        <v>28.957999999999998</v>
      </c>
      <c r="C91" s="92">
        <f t="shared" si="8"/>
        <v>980.63023704</v>
      </c>
      <c r="D91" s="92">
        <v>72.400000000000006</v>
      </c>
      <c r="E91" s="92">
        <f>(C91-0.163*((D91-32)*5/9) + (0.5685 *((C91-0.163*((D91-32)*5/9)))/1000)) *EXP([3]Calc!$C$14/((M91+273.15)+((0.0065*64.6)/2)+(0.12*0.85*((6.112*EXP((17.67*M91)/(M91+243.5)))))))</f>
        <v>985.14253119440446</v>
      </c>
      <c r="F91" s="93">
        <v>8</v>
      </c>
      <c r="G91" s="94">
        <v>12</v>
      </c>
      <c r="H91" s="94">
        <f t="shared" si="9"/>
        <v>8.3999999999999986</v>
      </c>
      <c r="I91" s="84">
        <v>7</v>
      </c>
      <c r="J91" s="95">
        <v>62</v>
      </c>
      <c r="K91" s="84">
        <v>2</v>
      </c>
      <c r="L91" s="84">
        <v>0</v>
      </c>
      <c r="M91" s="96">
        <v>9.8000000000000007</v>
      </c>
      <c r="N91" s="96">
        <v>9.6</v>
      </c>
      <c r="O91" s="93">
        <f t="shared" si="10"/>
        <v>97.345299600010222</v>
      </c>
      <c r="P91" s="96">
        <f t="shared" si="12"/>
        <v>9.3994170821771732</v>
      </c>
      <c r="Q91" s="97">
        <v>7.4</v>
      </c>
      <c r="R91" s="96">
        <v>9.4</v>
      </c>
      <c r="S91" s="96">
        <v>10</v>
      </c>
      <c r="T91" s="96">
        <v>13.5</v>
      </c>
      <c r="U91" s="96">
        <v>6.2</v>
      </c>
      <c r="V91" s="96">
        <f t="shared" si="11"/>
        <v>9.85</v>
      </c>
      <c r="W91" s="96">
        <v>3.4</v>
      </c>
      <c r="X91" s="96">
        <v>5.0999999999999996</v>
      </c>
      <c r="Y91" s="98">
        <v>1.2</v>
      </c>
      <c r="Z91" s="99">
        <v>6.8</v>
      </c>
    </row>
    <row r="92" spans="1:26">
      <c r="A92" s="78">
        <f t="shared" si="13"/>
        <v>45381</v>
      </c>
      <c r="B92" s="91">
        <v>29.166</v>
      </c>
      <c r="C92" s="92">
        <f t="shared" si="8"/>
        <v>987.67392408000012</v>
      </c>
      <c r="D92" s="92">
        <v>72.8</v>
      </c>
      <c r="E92" s="92">
        <f>(C92-0.163*((D92-32)*5/9) + (0.5685 *((C92-0.163*((D92-32)*5/9)))/1000)) *EXP([3]Calc!$C$14/((M92+273.15)+((0.0065*64.6)/2)+(0.12*0.85*((6.112*EXP((17.67*M92)/(M92+243.5)))))))</f>
        <v>992.16764539877022</v>
      </c>
      <c r="F92" s="93">
        <v>1</v>
      </c>
      <c r="G92" s="94">
        <v>4</v>
      </c>
      <c r="H92" s="94">
        <f t="shared" si="9"/>
        <v>2.8</v>
      </c>
      <c r="I92" s="84">
        <v>8</v>
      </c>
      <c r="J92" s="95">
        <v>2</v>
      </c>
      <c r="K92" s="84">
        <v>1</v>
      </c>
      <c r="L92" s="84">
        <v>0</v>
      </c>
      <c r="M92" s="96">
        <v>11.2</v>
      </c>
      <c r="N92" s="96">
        <v>9.8000000000000007</v>
      </c>
      <c r="O92" s="93">
        <f t="shared" si="10"/>
        <v>82.660518790337932</v>
      </c>
      <c r="P92" s="96">
        <f t="shared" si="12"/>
        <v>8.3608707351845499</v>
      </c>
      <c r="Q92" s="97">
        <v>7.5</v>
      </c>
      <c r="R92" s="96">
        <v>9.3000000000000007</v>
      </c>
      <c r="S92" s="96">
        <v>9.8000000000000007</v>
      </c>
      <c r="T92" s="96">
        <v>14.9</v>
      </c>
      <c r="U92" s="96">
        <v>4.5</v>
      </c>
      <c r="V92" s="96">
        <f t="shared" si="11"/>
        <v>9.6999999999999993</v>
      </c>
      <c r="W92" s="96">
        <v>1.2</v>
      </c>
      <c r="X92" s="96">
        <v>1.8</v>
      </c>
      <c r="Y92" s="98" t="s">
        <v>22</v>
      </c>
      <c r="Z92" s="99">
        <v>9.4</v>
      </c>
    </row>
    <row r="93" spans="1:26">
      <c r="A93" s="78">
        <f t="shared" si="13"/>
        <v>45382</v>
      </c>
      <c r="B93" s="91">
        <v>29.224</v>
      </c>
      <c r="C93" s="92">
        <f t="shared" si="8"/>
        <v>989.63802912000006</v>
      </c>
      <c r="D93" s="92">
        <v>72.5</v>
      </c>
      <c r="E93" s="92">
        <f>(C93-0.163*((D93-32)*5/9) + (0.5685 *((C93-0.163*((D93-32)*5/9)))/1000)) *EXP([3]Calc!$C$14/((M93+273.15)+((0.0065*64.6)/2)+(0.12*0.85*((6.112*EXP((17.67*M93)/(M93+243.5)))))))</f>
        <v>994.23711301619642</v>
      </c>
      <c r="F93" s="93">
        <v>8</v>
      </c>
      <c r="G93" s="94">
        <v>15</v>
      </c>
      <c r="H93" s="94">
        <f t="shared" si="9"/>
        <v>10.5</v>
      </c>
      <c r="I93" s="84">
        <v>8</v>
      </c>
      <c r="J93" s="95">
        <v>2</v>
      </c>
      <c r="K93" s="84">
        <v>1</v>
      </c>
      <c r="L93" s="84">
        <v>0</v>
      </c>
      <c r="M93" s="96">
        <v>9.1</v>
      </c>
      <c r="N93" s="96">
        <v>7.6</v>
      </c>
      <c r="O93" s="93">
        <f t="shared" si="10"/>
        <v>79.937079217681941</v>
      </c>
      <c r="P93" s="96">
        <f t="shared" si="12"/>
        <v>5.8222794891313638</v>
      </c>
      <c r="Q93" s="97">
        <v>7.6</v>
      </c>
      <c r="R93" s="96">
        <v>9.4</v>
      </c>
      <c r="S93" s="96">
        <v>9.8000000000000007</v>
      </c>
      <c r="T93" s="96">
        <v>11.6</v>
      </c>
      <c r="U93" s="96">
        <v>4.2</v>
      </c>
      <c r="V93" s="96">
        <f t="shared" si="11"/>
        <v>7.9</v>
      </c>
      <c r="W93" s="96">
        <v>-1.4</v>
      </c>
      <c r="X93" s="96">
        <v>1.9</v>
      </c>
      <c r="Y93" s="98">
        <v>4.2</v>
      </c>
      <c r="Z93" s="99">
        <v>0</v>
      </c>
    </row>
    <row r="94" spans="1:26">
      <c r="A94" s="78">
        <f t="shared" si="13"/>
        <v>45383</v>
      </c>
      <c r="B94" s="84">
        <v>29.212</v>
      </c>
      <c r="C94" s="84">
        <v>989.2</v>
      </c>
      <c r="D94" s="84">
        <v>73.2</v>
      </c>
      <c r="E94" s="84">
        <v>993.7</v>
      </c>
      <c r="F94" s="84">
        <v>3</v>
      </c>
      <c r="G94" s="84">
        <v>10</v>
      </c>
      <c r="H94" s="84">
        <v>7</v>
      </c>
      <c r="I94" s="84">
        <v>8</v>
      </c>
      <c r="J94" s="84">
        <v>2</v>
      </c>
      <c r="K94" s="84">
        <v>1</v>
      </c>
      <c r="L94" s="84">
        <v>0</v>
      </c>
      <c r="M94" s="84">
        <v>11.6</v>
      </c>
      <c r="N94" s="84">
        <v>9.3000000000000007</v>
      </c>
      <c r="O94" s="84">
        <v>72</v>
      </c>
      <c r="P94" s="84">
        <v>6.8</v>
      </c>
      <c r="Q94" s="84">
        <v>9</v>
      </c>
      <c r="R94" s="84">
        <v>9.8000000000000007</v>
      </c>
      <c r="S94" s="84">
        <v>10</v>
      </c>
      <c r="T94" s="84">
        <v>14.7</v>
      </c>
      <c r="U94" s="84">
        <v>6.6</v>
      </c>
      <c r="V94" s="84">
        <v>10.7</v>
      </c>
      <c r="W94" s="84">
        <v>3.5</v>
      </c>
      <c r="X94" s="84">
        <v>5.4</v>
      </c>
      <c r="Y94" s="84">
        <v>0.2</v>
      </c>
      <c r="Z94" s="84">
        <v>8.8000000000000007</v>
      </c>
    </row>
    <row r="95" spans="1:26">
      <c r="A95" s="78">
        <f t="shared" si="13"/>
        <v>45384</v>
      </c>
      <c r="B95" s="84">
        <v>29.462</v>
      </c>
      <c r="C95" s="84">
        <v>997.7</v>
      </c>
      <c r="D95" s="84">
        <v>73.8</v>
      </c>
      <c r="E95" s="84">
        <v>1002.2</v>
      </c>
      <c r="F95" s="84">
        <v>2</v>
      </c>
      <c r="G95" s="84">
        <v>6</v>
      </c>
      <c r="H95" s="84">
        <v>4.2</v>
      </c>
      <c r="I95" s="84">
        <v>8</v>
      </c>
      <c r="J95" s="84">
        <v>2</v>
      </c>
      <c r="K95" s="84">
        <v>1</v>
      </c>
      <c r="L95" s="84">
        <v>0</v>
      </c>
      <c r="M95" s="84">
        <v>11.4</v>
      </c>
      <c r="N95" s="84">
        <v>9.4</v>
      </c>
      <c r="O95" s="84">
        <v>76</v>
      </c>
      <c r="P95" s="84">
        <v>7.2</v>
      </c>
      <c r="Q95" s="84">
        <v>9.6</v>
      </c>
      <c r="R95" s="84">
        <v>10.199999999999999</v>
      </c>
      <c r="S95" s="84">
        <v>9.6999999999999993</v>
      </c>
      <c r="T95" s="84">
        <v>14.2</v>
      </c>
      <c r="U95" s="84">
        <v>7.2</v>
      </c>
      <c r="V95" s="84">
        <v>10.7</v>
      </c>
      <c r="W95" s="84">
        <v>5.0999999999999996</v>
      </c>
      <c r="X95" s="84">
        <v>5.9</v>
      </c>
      <c r="Y95" s="84">
        <v>4.5999999999999996</v>
      </c>
      <c r="Z95" s="84">
        <v>3.2</v>
      </c>
    </row>
    <row r="96" spans="1:26">
      <c r="A96" s="78">
        <f t="shared" si="13"/>
        <v>45385</v>
      </c>
      <c r="B96" s="84">
        <v>29.38</v>
      </c>
      <c r="C96" s="84">
        <v>994.9</v>
      </c>
      <c r="D96" s="84">
        <v>74.8</v>
      </c>
      <c r="E96" s="84">
        <v>999.3</v>
      </c>
      <c r="F96" s="84">
        <v>5</v>
      </c>
      <c r="G96" s="84">
        <v>11</v>
      </c>
      <c r="H96" s="84">
        <v>7.7</v>
      </c>
      <c r="I96" s="84">
        <v>8</v>
      </c>
      <c r="J96" s="84">
        <v>2</v>
      </c>
      <c r="K96" s="84">
        <v>1</v>
      </c>
      <c r="L96" s="84">
        <v>0</v>
      </c>
      <c r="M96" s="84">
        <v>10.9</v>
      </c>
      <c r="N96" s="84">
        <v>9.1</v>
      </c>
      <c r="O96" s="84">
        <v>78</v>
      </c>
      <c r="P96" s="84">
        <v>7.1</v>
      </c>
      <c r="Q96" s="84">
        <v>9.3000000000000007</v>
      </c>
      <c r="R96" s="84">
        <v>10</v>
      </c>
      <c r="S96" s="84">
        <v>9.6999999999999993</v>
      </c>
      <c r="T96" s="84">
        <v>13.1</v>
      </c>
      <c r="U96" s="84">
        <v>9</v>
      </c>
      <c r="V96" s="84">
        <v>11.1</v>
      </c>
      <c r="W96" s="84">
        <v>5.8</v>
      </c>
      <c r="X96" s="84">
        <v>6.2</v>
      </c>
      <c r="Y96" s="84">
        <v>5.3</v>
      </c>
      <c r="Z96" s="84">
        <v>3.7</v>
      </c>
    </row>
    <row r="97" spans="1:26">
      <c r="A97" s="78">
        <f t="shared" si="13"/>
        <v>45386</v>
      </c>
      <c r="B97" s="84">
        <v>29.436</v>
      </c>
      <c r="C97" s="84">
        <v>996.8</v>
      </c>
      <c r="D97" s="84">
        <v>73.7</v>
      </c>
      <c r="E97" s="84">
        <v>1001.3</v>
      </c>
      <c r="F97" s="84">
        <v>8</v>
      </c>
      <c r="G97" s="84">
        <v>11</v>
      </c>
      <c r="H97" s="84">
        <v>7.7</v>
      </c>
      <c r="I97" s="84">
        <v>8</v>
      </c>
      <c r="J97" s="84">
        <v>2</v>
      </c>
      <c r="K97" s="84">
        <v>1</v>
      </c>
      <c r="L97" s="84">
        <v>0</v>
      </c>
      <c r="M97" s="84">
        <v>10.6</v>
      </c>
      <c r="N97" s="84">
        <v>9.5</v>
      </c>
      <c r="O97" s="84">
        <v>86</v>
      </c>
      <c r="P97" s="84">
        <v>8.4</v>
      </c>
      <c r="Q97" s="84">
        <v>10.6</v>
      </c>
      <c r="R97" s="84">
        <v>10.5</v>
      </c>
      <c r="S97" s="84">
        <v>9.9</v>
      </c>
      <c r="T97" s="84">
        <v>15.5</v>
      </c>
      <c r="U97" s="84">
        <v>8.6999999999999993</v>
      </c>
      <c r="V97" s="84">
        <v>12.1</v>
      </c>
      <c r="W97" s="84">
        <v>8</v>
      </c>
      <c r="X97" s="84">
        <v>9</v>
      </c>
      <c r="Y97" s="84">
        <v>3.5</v>
      </c>
      <c r="Z97" s="84">
        <v>2.5</v>
      </c>
    </row>
    <row r="98" spans="1:26">
      <c r="A98" s="78">
        <f t="shared" si="13"/>
        <v>45387</v>
      </c>
      <c r="B98" s="84">
        <v>29.456</v>
      </c>
      <c r="C98" s="84">
        <v>997.5</v>
      </c>
      <c r="D98" s="84">
        <v>74.2</v>
      </c>
      <c r="E98" s="84">
        <v>1001.9</v>
      </c>
      <c r="F98" s="84">
        <v>8</v>
      </c>
      <c r="G98" s="84">
        <v>18</v>
      </c>
      <c r="H98" s="84">
        <v>12.6</v>
      </c>
      <c r="I98" s="84">
        <v>8</v>
      </c>
      <c r="J98" s="84">
        <v>2</v>
      </c>
      <c r="K98" s="84">
        <v>1</v>
      </c>
      <c r="L98" s="84">
        <v>0</v>
      </c>
      <c r="M98" s="84">
        <v>13.7</v>
      </c>
      <c r="N98" s="84">
        <v>11.6</v>
      </c>
      <c r="O98" s="84">
        <v>76</v>
      </c>
      <c r="P98" s="84">
        <v>9.6</v>
      </c>
      <c r="Q98" s="84">
        <v>11.9</v>
      </c>
      <c r="R98" s="84">
        <v>11.5</v>
      </c>
      <c r="S98" s="84">
        <v>10.1</v>
      </c>
      <c r="T98" s="84">
        <v>17.5</v>
      </c>
      <c r="U98" s="84">
        <v>10.4</v>
      </c>
      <c r="V98" s="84">
        <v>14</v>
      </c>
      <c r="W98" s="84">
        <v>10.199999999999999</v>
      </c>
      <c r="X98" s="84">
        <v>10.6</v>
      </c>
      <c r="Y98" s="84" t="s">
        <v>22</v>
      </c>
      <c r="Z98" s="84">
        <v>5.2</v>
      </c>
    </row>
    <row r="99" spans="1:26">
      <c r="A99" s="78">
        <f t="shared" si="13"/>
        <v>45388</v>
      </c>
      <c r="B99" s="84">
        <v>29.38</v>
      </c>
      <c r="C99" s="84">
        <v>994.9</v>
      </c>
      <c r="D99" s="84">
        <v>74.400000000000006</v>
      </c>
      <c r="E99" s="84">
        <v>999.2</v>
      </c>
      <c r="F99" s="84">
        <v>8</v>
      </c>
      <c r="G99" s="84">
        <v>15</v>
      </c>
      <c r="H99" s="84">
        <v>10.5</v>
      </c>
      <c r="I99" s="84">
        <v>8</v>
      </c>
      <c r="J99" s="84">
        <v>2</v>
      </c>
      <c r="K99" s="84">
        <v>1</v>
      </c>
      <c r="L99" s="84">
        <v>0</v>
      </c>
      <c r="M99" s="84">
        <v>17.3</v>
      </c>
      <c r="N99" s="84">
        <v>13.8</v>
      </c>
      <c r="O99" s="84">
        <v>66</v>
      </c>
      <c r="P99" s="84">
        <v>10.8</v>
      </c>
      <c r="Q99" s="84">
        <v>12.6</v>
      </c>
      <c r="R99" s="84">
        <v>12.3</v>
      </c>
      <c r="S99" s="84">
        <v>10.199999999999999</v>
      </c>
      <c r="T99" s="84">
        <v>17.7</v>
      </c>
      <c r="U99" s="84">
        <v>12.4</v>
      </c>
      <c r="V99" s="84">
        <v>15.1</v>
      </c>
      <c r="W99" s="84">
        <v>10.6</v>
      </c>
      <c r="X99" s="84">
        <v>11.6</v>
      </c>
      <c r="Y99" s="84">
        <v>2.5</v>
      </c>
      <c r="Z99" s="84">
        <v>2.7</v>
      </c>
    </row>
    <row r="100" spans="1:26">
      <c r="A100" s="78">
        <f t="shared" si="13"/>
        <v>45389</v>
      </c>
      <c r="B100" s="84">
        <v>29.617999999999999</v>
      </c>
      <c r="C100" s="84">
        <v>1003</v>
      </c>
      <c r="D100" s="84">
        <v>72.599999999999994</v>
      </c>
      <c r="E100" s="84">
        <v>1007.6</v>
      </c>
      <c r="F100" s="84">
        <v>6</v>
      </c>
      <c r="G100" s="84">
        <v>20</v>
      </c>
      <c r="H100" s="84">
        <v>14</v>
      </c>
      <c r="I100" s="84">
        <v>8</v>
      </c>
      <c r="J100" s="84">
        <v>2</v>
      </c>
      <c r="K100" s="84">
        <v>1</v>
      </c>
      <c r="L100" s="84">
        <v>0</v>
      </c>
      <c r="M100" s="84">
        <v>13</v>
      </c>
      <c r="N100" s="84">
        <v>10.1</v>
      </c>
      <c r="O100" s="84">
        <v>67</v>
      </c>
      <c r="P100" s="84">
        <v>7</v>
      </c>
      <c r="Q100" s="84">
        <v>11</v>
      </c>
      <c r="R100" s="84">
        <v>12.1</v>
      </c>
      <c r="S100" s="84">
        <v>10.5</v>
      </c>
      <c r="T100" s="84">
        <v>15.6</v>
      </c>
      <c r="U100" s="84">
        <v>9.1</v>
      </c>
      <c r="V100" s="84">
        <v>12.4</v>
      </c>
      <c r="W100" s="84">
        <v>7.6</v>
      </c>
      <c r="X100" s="84">
        <v>8</v>
      </c>
      <c r="Y100" s="84" t="s">
        <v>22</v>
      </c>
      <c r="Z100" s="84">
        <v>4.9000000000000004</v>
      </c>
    </row>
    <row r="101" spans="1:26">
      <c r="A101" s="78">
        <f t="shared" si="13"/>
        <v>45390</v>
      </c>
      <c r="B101" s="84">
        <v>29.58</v>
      </c>
      <c r="C101" s="84">
        <v>1001.7</v>
      </c>
      <c r="D101" s="84">
        <v>73.3</v>
      </c>
      <c r="E101" s="84">
        <v>1006.2</v>
      </c>
      <c r="F101" s="84">
        <v>8</v>
      </c>
      <c r="G101" s="84">
        <v>7</v>
      </c>
      <c r="H101" s="84">
        <v>4.9000000000000004</v>
      </c>
      <c r="I101" s="84">
        <v>8</v>
      </c>
      <c r="J101" s="84">
        <v>2</v>
      </c>
      <c r="K101" s="84">
        <v>1</v>
      </c>
      <c r="L101" s="84">
        <v>0</v>
      </c>
      <c r="M101" s="84">
        <v>12.1</v>
      </c>
      <c r="N101" s="84">
        <v>10.3</v>
      </c>
      <c r="O101" s="84">
        <v>79</v>
      </c>
      <c r="P101" s="84">
        <v>8.5</v>
      </c>
      <c r="Q101" s="84">
        <v>11.2</v>
      </c>
      <c r="R101" s="84">
        <v>12</v>
      </c>
      <c r="S101" s="84">
        <v>10.6</v>
      </c>
      <c r="T101" s="84">
        <v>16.7</v>
      </c>
      <c r="U101" s="84">
        <v>9.8000000000000007</v>
      </c>
      <c r="V101" s="84">
        <v>13.3</v>
      </c>
      <c r="W101" s="84">
        <v>6.9</v>
      </c>
      <c r="X101" s="84">
        <v>8.6</v>
      </c>
      <c r="Y101" s="84">
        <v>1.9</v>
      </c>
      <c r="Z101" s="84">
        <v>0.3</v>
      </c>
    </row>
    <row r="102" spans="1:26">
      <c r="A102" s="78">
        <f t="shared" si="13"/>
        <v>45391</v>
      </c>
      <c r="B102" s="84">
        <v>29.547999999999998</v>
      </c>
      <c r="C102" s="84">
        <v>1000.6</v>
      </c>
      <c r="D102" s="84">
        <v>72.5</v>
      </c>
      <c r="E102" s="84">
        <v>1005.4</v>
      </c>
      <c r="F102" s="84">
        <v>8</v>
      </c>
      <c r="G102" s="84">
        <v>21</v>
      </c>
      <c r="H102" s="84">
        <v>14.7</v>
      </c>
      <c r="I102" s="84">
        <v>8</v>
      </c>
      <c r="J102" s="84">
        <v>2</v>
      </c>
      <c r="K102" s="84">
        <v>1</v>
      </c>
      <c r="L102" s="84">
        <v>0</v>
      </c>
      <c r="M102" s="84">
        <v>7.1</v>
      </c>
      <c r="N102" s="84">
        <v>6</v>
      </c>
      <c r="O102" s="84">
        <v>84</v>
      </c>
      <c r="P102" s="84">
        <v>4.5999999999999996</v>
      </c>
      <c r="Q102" s="84">
        <v>10.5</v>
      </c>
      <c r="R102" s="84">
        <v>12</v>
      </c>
      <c r="S102" s="84">
        <v>10.8</v>
      </c>
      <c r="T102" s="84">
        <v>12.5</v>
      </c>
      <c r="U102" s="84">
        <v>6.9</v>
      </c>
      <c r="V102" s="84">
        <v>9.6999999999999993</v>
      </c>
      <c r="W102" s="84">
        <v>6.8</v>
      </c>
      <c r="X102" s="84">
        <v>7.7</v>
      </c>
      <c r="Y102" s="84">
        <v>0.5</v>
      </c>
      <c r="Z102" s="84">
        <v>3.4</v>
      </c>
    </row>
    <row r="103" spans="1:26">
      <c r="A103" s="78">
        <f t="shared" si="13"/>
        <v>45392</v>
      </c>
      <c r="B103" s="84">
        <v>30.14</v>
      </c>
      <c r="C103" s="84">
        <v>1020.7</v>
      </c>
      <c r="D103" s="84">
        <v>72.599999999999994</v>
      </c>
      <c r="E103" s="84">
        <v>1025.4000000000001</v>
      </c>
      <c r="F103" s="84">
        <v>8</v>
      </c>
      <c r="G103" s="84">
        <v>18</v>
      </c>
      <c r="H103" s="84">
        <v>12.6</v>
      </c>
      <c r="I103" s="84">
        <v>8</v>
      </c>
      <c r="J103" s="84">
        <v>2</v>
      </c>
      <c r="K103" s="84">
        <v>1</v>
      </c>
      <c r="L103" s="84">
        <v>0</v>
      </c>
      <c r="M103" s="84">
        <v>11.2</v>
      </c>
      <c r="N103" s="84">
        <v>9</v>
      </c>
      <c r="O103" s="84">
        <v>73</v>
      </c>
      <c r="P103" s="84">
        <v>6.6</v>
      </c>
      <c r="Q103" s="84">
        <v>9</v>
      </c>
      <c r="R103" s="84">
        <v>11</v>
      </c>
      <c r="S103" s="84">
        <v>10.9</v>
      </c>
      <c r="T103" s="84">
        <v>14.1</v>
      </c>
      <c r="U103" s="84">
        <v>5.4</v>
      </c>
      <c r="V103" s="84">
        <v>9.8000000000000007</v>
      </c>
      <c r="W103" s="84">
        <v>2.5</v>
      </c>
      <c r="X103" s="84">
        <v>1</v>
      </c>
      <c r="Y103" s="84">
        <v>1.6</v>
      </c>
      <c r="Z103" s="84">
        <v>1.1000000000000001</v>
      </c>
    </row>
    <row r="104" spans="1:26">
      <c r="A104" s="78">
        <f t="shared" si="13"/>
        <v>45393</v>
      </c>
      <c r="B104" s="84">
        <v>30.257999999999999</v>
      </c>
      <c r="C104" s="84">
        <v>1024.7</v>
      </c>
      <c r="D104" s="84">
        <v>73.2</v>
      </c>
      <c r="E104" s="84">
        <v>1029.3</v>
      </c>
      <c r="F104" s="84">
        <v>8</v>
      </c>
      <c r="G104" s="84">
        <v>10</v>
      </c>
      <c r="H104" s="84">
        <v>7</v>
      </c>
      <c r="I104" s="84">
        <v>8</v>
      </c>
      <c r="J104" s="84">
        <v>2</v>
      </c>
      <c r="K104" s="84">
        <v>1</v>
      </c>
      <c r="L104" s="84">
        <v>0</v>
      </c>
      <c r="M104" s="84">
        <v>14.1</v>
      </c>
      <c r="N104" s="84">
        <v>12.7</v>
      </c>
      <c r="O104" s="84">
        <v>84</v>
      </c>
      <c r="P104" s="84">
        <v>11.5</v>
      </c>
      <c r="Q104" s="84">
        <v>12.1</v>
      </c>
      <c r="R104" s="84">
        <v>11.4</v>
      </c>
      <c r="S104" s="84">
        <v>10.9</v>
      </c>
      <c r="T104" s="84">
        <v>19.100000000000001</v>
      </c>
      <c r="U104" s="84">
        <v>10.9</v>
      </c>
      <c r="V104" s="84">
        <v>15</v>
      </c>
      <c r="W104" s="84">
        <v>11.4</v>
      </c>
      <c r="X104" s="84">
        <v>11.4</v>
      </c>
      <c r="Y104" s="84" t="s">
        <v>22</v>
      </c>
      <c r="Z104" s="84">
        <v>2.5</v>
      </c>
    </row>
    <row r="105" spans="1:26">
      <c r="A105" s="78">
        <f t="shared" si="13"/>
        <v>45394</v>
      </c>
      <c r="B105" s="84">
        <v>30.248000000000001</v>
      </c>
      <c r="C105" s="84">
        <v>1024.3</v>
      </c>
      <c r="D105" s="84">
        <v>74</v>
      </c>
      <c r="E105" s="84">
        <v>1029</v>
      </c>
      <c r="F105" s="84">
        <v>8</v>
      </c>
      <c r="G105" s="84">
        <v>12</v>
      </c>
      <c r="H105" s="84">
        <v>8.4</v>
      </c>
      <c r="I105" s="84">
        <v>8</v>
      </c>
      <c r="J105" s="84">
        <v>2</v>
      </c>
      <c r="K105" s="84">
        <v>1</v>
      </c>
      <c r="L105" s="84">
        <v>0</v>
      </c>
      <c r="M105" s="84">
        <v>12.7</v>
      </c>
      <c r="N105" s="84">
        <v>10.5</v>
      </c>
      <c r="O105" s="84">
        <v>74</v>
      </c>
      <c r="P105" s="84">
        <v>8.3000000000000007</v>
      </c>
      <c r="Q105" s="84">
        <v>11.8</v>
      </c>
      <c r="R105" s="84">
        <v>12.5</v>
      </c>
      <c r="S105" s="84">
        <v>11</v>
      </c>
      <c r="T105" s="84">
        <v>20.100000000000001</v>
      </c>
      <c r="U105" s="84">
        <v>8.6</v>
      </c>
      <c r="V105" s="84">
        <v>14.4</v>
      </c>
      <c r="W105" s="84">
        <v>6.8</v>
      </c>
      <c r="X105" s="84">
        <v>7.1</v>
      </c>
      <c r="Y105" s="84" t="s">
        <v>61</v>
      </c>
      <c r="Z105" s="84">
        <v>6.2</v>
      </c>
    </row>
    <row r="106" spans="1:26">
      <c r="A106" s="78">
        <f t="shared" si="13"/>
        <v>45395</v>
      </c>
      <c r="B106" s="84">
        <v>30.033999999999999</v>
      </c>
      <c r="C106" s="84">
        <v>1017.1</v>
      </c>
      <c r="D106" s="84">
        <v>75.3</v>
      </c>
      <c r="E106" s="84">
        <v>1021.5</v>
      </c>
      <c r="F106" s="84">
        <v>3</v>
      </c>
      <c r="G106" s="84">
        <v>11</v>
      </c>
      <c r="H106" s="84">
        <v>7.7</v>
      </c>
      <c r="I106" s="84">
        <v>8</v>
      </c>
      <c r="J106" s="84">
        <v>2</v>
      </c>
      <c r="K106" s="84">
        <v>0</v>
      </c>
      <c r="L106" s="84">
        <v>0</v>
      </c>
      <c r="M106" s="84">
        <v>14.5</v>
      </c>
      <c r="N106" s="84">
        <v>11.8</v>
      </c>
      <c r="O106" s="84">
        <v>71</v>
      </c>
      <c r="P106" s="84">
        <v>9.3000000000000007</v>
      </c>
      <c r="Q106" s="84">
        <v>12.6</v>
      </c>
      <c r="R106" s="84">
        <v>13.1</v>
      </c>
      <c r="S106" s="84">
        <v>11.1</v>
      </c>
      <c r="T106" s="84">
        <v>18.7</v>
      </c>
      <c r="U106" s="84">
        <v>10.199999999999999</v>
      </c>
      <c r="V106" s="84">
        <v>14.5</v>
      </c>
      <c r="W106" s="84">
        <v>7</v>
      </c>
      <c r="X106" s="84">
        <v>8.9</v>
      </c>
      <c r="Y106" s="84" t="s">
        <v>61</v>
      </c>
      <c r="Z106" s="84">
        <v>7</v>
      </c>
    </row>
    <row r="107" spans="1:26">
      <c r="A107" s="78">
        <f t="shared" si="13"/>
        <v>45396</v>
      </c>
      <c r="B107" s="84">
        <v>30.155999999999999</v>
      </c>
      <c r="C107" s="84">
        <v>1021.2</v>
      </c>
      <c r="D107" s="84">
        <v>74.099999999999994</v>
      </c>
      <c r="E107" s="84">
        <v>1025.9000000000001</v>
      </c>
      <c r="F107" s="84">
        <v>5</v>
      </c>
      <c r="G107" s="84">
        <v>5</v>
      </c>
      <c r="H107" s="84">
        <v>3.5</v>
      </c>
      <c r="I107" s="84">
        <v>8</v>
      </c>
      <c r="J107" s="84">
        <v>2</v>
      </c>
      <c r="K107" s="84">
        <v>1</v>
      </c>
      <c r="L107" s="84">
        <v>0</v>
      </c>
      <c r="M107" s="84">
        <v>10.4</v>
      </c>
      <c r="N107" s="84">
        <v>7.5</v>
      </c>
      <c r="O107" s="84">
        <v>64</v>
      </c>
      <c r="P107" s="84">
        <v>3.8</v>
      </c>
      <c r="Q107" s="84">
        <v>11.7</v>
      </c>
      <c r="R107" s="84">
        <v>13.2</v>
      </c>
      <c r="S107" s="84">
        <v>11.2</v>
      </c>
      <c r="T107" s="84">
        <v>13.6</v>
      </c>
      <c r="U107" s="84">
        <v>7.9</v>
      </c>
      <c r="V107" s="84">
        <v>10.8</v>
      </c>
      <c r="W107" s="84">
        <v>3.2</v>
      </c>
      <c r="X107" s="84">
        <v>6.8</v>
      </c>
      <c r="Y107" s="84">
        <v>3.5</v>
      </c>
      <c r="Z107" s="84">
        <v>9.1999999999999993</v>
      </c>
    </row>
    <row r="108" spans="1:26">
      <c r="A108" s="78">
        <f t="shared" si="13"/>
        <v>45397</v>
      </c>
      <c r="B108" s="84">
        <v>29.547999999999998</v>
      </c>
      <c r="C108" s="84">
        <v>1000.6</v>
      </c>
      <c r="D108" s="84">
        <v>73.2</v>
      </c>
      <c r="E108" s="84">
        <v>1005.2</v>
      </c>
      <c r="F108" s="84">
        <v>3</v>
      </c>
      <c r="G108" s="84">
        <v>20</v>
      </c>
      <c r="H108" s="84">
        <v>14</v>
      </c>
      <c r="I108" s="84">
        <v>8</v>
      </c>
      <c r="J108" s="84">
        <v>1</v>
      </c>
      <c r="K108" s="84">
        <v>2</v>
      </c>
      <c r="L108" s="84">
        <v>0</v>
      </c>
      <c r="M108" s="84">
        <v>9.5</v>
      </c>
      <c r="N108" s="84">
        <v>6.7</v>
      </c>
      <c r="O108" s="84">
        <v>64</v>
      </c>
      <c r="P108" s="84">
        <v>3</v>
      </c>
      <c r="Q108" s="84">
        <v>10.4</v>
      </c>
      <c r="R108" s="84">
        <v>12.6</v>
      </c>
      <c r="S108" s="84">
        <v>11.5</v>
      </c>
      <c r="T108" s="84">
        <v>12.1</v>
      </c>
      <c r="U108" s="84">
        <v>6.5</v>
      </c>
      <c r="V108" s="84">
        <v>9.3000000000000007</v>
      </c>
      <c r="W108" s="84">
        <v>6.3</v>
      </c>
      <c r="X108" s="84">
        <v>6.7</v>
      </c>
      <c r="Y108" s="84">
        <v>0.9</v>
      </c>
      <c r="Z108" s="84">
        <v>6.8</v>
      </c>
    </row>
    <row r="109" spans="1:26">
      <c r="A109" s="78">
        <f t="shared" si="13"/>
        <v>45398</v>
      </c>
      <c r="B109" s="84">
        <v>29.718</v>
      </c>
      <c r="C109" s="84">
        <v>1006.4</v>
      </c>
      <c r="D109" s="84">
        <v>70.599999999999994</v>
      </c>
      <c r="E109" s="84">
        <v>1011.2</v>
      </c>
      <c r="F109" s="84">
        <v>5</v>
      </c>
      <c r="G109" s="84">
        <v>20</v>
      </c>
      <c r="H109" s="84">
        <v>14</v>
      </c>
      <c r="I109" s="84">
        <v>8</v>
      </c>
      <c r="J109" s="84">
        <v>2</v>
      </c>
      <c r="K109" s="84">
        <v>1</v>
      </c>
      <c r="L109" s="84">
        <v>0</v>
      </c>
      <c r="M109" s="84">
        <v>10.9</v>
      </c>
      <c r="N109" s="84">
        <v>8.1</v>
      </c>
      <c r="O109" s="84">
        <v>66</v>
      </c>
      <c r="P109" s="84">
        <v>4.7</v>
      </c>
      <c r="Q109" s="84">
        <v>9.1</v>
      </c>
      <c r="R109" s="84">
        <v>12</v>
      </c>
      <c r="S109" s="84">
        <v>11.5</v>
      </c>
      <c r="T109" s="84">
        <v>14</v>
      </c>
      <c r="U109" s="84">
        <v>6.4</v>
      </c>
      <c r="V109" s="84">
        <v>10.199999999999999</v>
      </c>
      <c r="W109" s="84">
        <v>3.7</v>
      </c>
      <c r="X109" s="84">
        <v>5.6</v>
      </c>
      <c r="Y109" s="84">
        <v>2.5</v>
      </c>
      <c r="Z109" s="84">
        <v>7.2</v>
      </c>
    </row>
    <row r="110" spans="1:26">
      <c r="A110" s="78">
        <f t="shared" si="13"/>
        <v>45399</v>
      </c>
      <c r="B110" s="84">
        <v>29.904</v>
      </c>
      <c r="C110" s="84">
        <v>1012.7</v>
      </c>
      <c r="D110" s="84">
        <v>71.900000000000006</v>
      </c>
      <c r="E110" s="84">
        <v>1017.5</v>
      </c>
      <c r="F110" s="84">
        <v>7</v>
      </c>
      <c r="G110" s="84">
        <v>12</v>
      </c>
      <c r="H110" s="84">
        <v>8.4</v>
      </c>
      <c r="I110" s="84">
        <v>8</v>
      </c>
      <c r="J110" s="84">
        <v>1</v>
      </c>
      <c r="K110" s="84">
        <v>1</v>
      </c>
      <c r="L110" s="84">
        <v>0</v>
      </c>
      <c r="M110" s="84">
        <v>8.1</v>
      </c>
      <c r="N110" s="84">
        <v>5.5</v>
      </c>
      <c r="O110" s="84">
        <v>64</v>
      </c>
      <c r="P110" s="84">
        <v>1.8</v>
      </c>
      <c r="Q110" s="84">
        <v>8.9</v>
      </c>
      <c r="R110" s="84">
        <v>11.7</v>
      </c>
      <c r="S110" s="84">
        <v>11.5</v>
      </c>
      <c r="T110" s="84">
        <v>12.6</v>
      </c>
      <c r="U110" s="84">
        <v>3.9</v>
      </c>
      <c r="V110" s="84">
        <v>8.3000000000000007</v>
      </c>
      <c r="W110" s="84">
        <v>0.6</v>
      </c>
      <c r="X110" s="84">
        <v>3.1</v>
      </c>
      <c r="Y110" s="84" t="s">
        <v>22</v>
      </c>
      <c r="Z110" s="84">
        <v>8.8000000000000007</v>
      </c>
    </row>
    <row r="111" spans="1:26">
      <c r="A111" s="78">
        <f t="shared" si="13"/>
        <v>45400</v>
      </c>
      <c r="B111" s="84">
        <v>30.138000000000002</v>
      </c>
      <c r="C111" s="84">
        <v>1020.6</v>
      </c>
      <c r="D111" s="84">
        <v>72.2</v>
      </c>
      <c r="E111" s="84">
        <v>1025.5</v>
      </c>
      <c r="F111" s="84">
        <v>3</v>
      </c>
      <c r="G111" s="84">
        <v>5</v>
      </c>
      <c r="H111" s="84">
        <v>3.5</v>
      </c>
      <c r="I111" s="84">
        <v>8</v>
      </c>
      <c r="J111" s="84">
        <v>3</v>
      </c>
      <c r="K111" s="84">
        <v>1</v>
      </c>
      <c r="L111" s="84">
        <v>0</v>
      </c>
      <c r="M111" s="84">
        <v>9.3000000000000007</v>
      </c>
      <c r="N111" s="84">
        <v>6.3</v>
      </c>
      <c r="O111" s="84">
        <v>61</v>
      </c>
      <c r="P111" s="84">
        <v>2.2000000000000002</v>
      </c>
      <c r="Q111" s="84">
        <v>8.8000000000000007</v>
      </c>
      <c r="R111" s="84">
        <v>11.3</v>
      </c>
      <c r="S111" s="84">
        <v>11.5</v>
      </c>
      <c r="T111" s="84">
        <v>13.1</v>
      </c>
      <c r="U111" s="84">
        <v>2.4</v>
      </c>
      <c r="V111" s="84">
        <v>7.8</v>
      </c>
      <c r="W111" s="84">
        <v>0.2</v>
      </c>
      <c r="X111" s="84">
        <v>1.6</v>
      </c>
      <c r="Y111" s="84">
        <v>0.1</v>
      </c>
      <c r="Z111" s="84">
        <v>7.5</v>
      </c>
    </row>
    <row r="112" spans="1:26">
      <c r="A112" s="78">
        <f t="shared" si="13"/>
        <v>45401</v>
      </c>
      <c r="B112" s="84">
        <v>29.873999999999999</v>
      </c>
      <c r="C112" s="84">
        <v>1011.6</v>
      </c>
      <c r="D112" s="84">
        <v>72.599999999999994</v>
      </c>
      <c r="E112" s="84">
        <v>1016.3</v>
      </c>
      <c r="F112" s="84">
        <v>8</v>
      </c>
      <c r="G112" s="84">
        <v>18</v>
      </c>
      <c r="H112" s="84">
        <v>12.6</v>
      </c>
      <c r="I112" s="84">
        <v>8</v>
      </c>
      <c r="J112" s="84">
        <v>2</v>
      </c>
      <c r="K112" s="84">
        <v>1</v>
      </c>
      <c r="L112" s="84">
        <v>0</v>
      </c>
      <c r="M112" s="84">
        <v>11.8</v>
      </c>
      <c r="N112" s="84">
        <v>9.4</v>
      </c>
      <c r="O112" s="84">
        <v>71</v>
      </c>
      <c r="P112" s="84">
        <v>6.8</v>
      </c>
      <c r="Q112" s="84">
        <v>10.8</v>
      </c>
      <c r="R112" s="84">
        <v>11.9</v>
      </c>
      <c r="S112" s="84">
        <v>11.5</v>
      </c>
      <c r="T112" s="84">
        <v>16</v>
      </c>
      <c r="U112" s="84">
        <v>8.1</v>
      </c>
      <c r="V112" s="84">
        <v>12.1</v>
      </c>
      <c r="W112" s="84">
        <v>7.6</v>
      </c>
      <c r="X112" s="84">
        <v>8.3000000000000007</v>
      </c>
      <c r="Y112" s="84">
        <v>0.1</v>
      </c>
      <c r="Z112" s="84">
        <v>5.6</v>
      </c>
    </row>
    <row r="113" spans="1:26">
      <c r="A113" s="78">
        <f t="shared" si="13"/>
        <v>45402</v>
      </c>
      <c r="B113" s="84">
        <v>30.212</v>
      </c>
      <c r="C113" s="84">
        <v>1023.1</v>
      </c>
      <c r="D113" s="84">
        <v>72.8</v>
      </c>
      <c r="E113" s="84">
        <v>1028</v>
      </c>
      <c r="F113" s="84">
        <v>1</v>
      </c>
      <c r="G113" s="84">
        <v>11</v>
      </c>
      <c r="H113" s="84">
        <v>7.7</v>
      </c>
      <c r="I113" s="84">
        <v>8</v>
      </c>
      <c r="J113" s="84">
        <v>2</v>
      </c>
      <c r="K113" s="84">
        <v>1</v>
      </c>
      <c r="L113" s="84">
        <v>0</v>
      </c>
      <c r="M113" s="84">
        <v>8.5</v>
      </c>
      <c r="N113" s="84">
        <v>5</v>
      </c>
      <c r="O113" s="84">
        <v>53</v>
      </c>
      <c r="P113" s="84">
        <v>-0.4</v>
      </c>
      <c r="Q113" s="84">
        <v>9</v>
      </c>
      <c r="R113" s="84">
        <v>11.9</v>
      </c>
      <c r="S113" s="84">
        <v>11.5</v>
      </c>
      <c r="T113" s="84">
        <v>12.1</v>
      </c>
      <c r="U113" s="84">
        <v>1.2</v>
      </c>
      <c r="V113" s="84">
        <v>6.7</v>
      </c>
      <c r="W113" s="84">
        <v>-1.7</v>
      </c>
      <c r="X113" s="84">
        <v>1.5</v>
      </c>
      <c r="Y113" s="84" t="s">
        <v>61</v>
      </c>
      <c r="Z113" s="84">
        <v>10.4</v>
      </c>
    </row>
    <row r="114" spans="1:26">
      <c r="A114" s="78">
        <f t="shared" si="13"/>
        <v>45403</v>
      </c>
      <c r="B114" s="84">
        <v>30.28</v>
      </c>
      <c r="C114" s="84">
        <v>1025.4000000000001</v>
      </c>
      <c r="D114" s="84">
        <v>72.5</v>
      </c>
      <c r="E114" s="84">
        <v>1030.3</v>
      </c>
      <c r="F114" s="84">
        <v>4</v>
      </c>
      <c r="G114" s="84">
        <v>11</v>
      </c>
      <c r="H114" s="84">
        <v>7.7</v>
      </c>
      <c r="I114" s="84">
        <v>8</v>
      </c>
      <c r="J114" s="84">
        <v>3</v>
      </c>
      <c r="K114" s="84">
        <v>1</v>
      </c>
      <c r="L114" s="84">
        <v>0</v>
      </c>
      <c r="M114" s="84">
        <v>8.4</v>
      </c>
      <c r="N114" s="84">
        <v>5.2</v>
      </c>
      <c r="O114" s="84">
        <v>57</v>
      </c>
      <c r="P114" s="84">
        <v>0.4</v>
      </c>
      <c r="Q114" s="84">
        <v>9.5</v>
      </c>
      <c r="R114" s="84">
        <v>11.5</v>
      </c>
      <c r="S114" s="84">
        <v>11.5</v>
      </c>
      <c r="T114" s="84">
        <v>11.4</v>
      </c>
      <c r="U114" s="84">
        <v>3.7</v>
      </c>
      <c r="V114" s="84">
        <v>7.6</v>
      </c>
      <c r="W114" s="84">
        <v>3.2</v>
      </c>
      <c r="X114" s="84">
        <v>4.0999999999999996</v>
      </c>
      <c r="Y114" s="84">
        <v>0.4</v>
      </c>
      <c r="Z114" s="84">
        <v>11.4</v>
      </c>
    </row>
    <row r="115" spans="1:26">
      <c r="A115" s="78">
        <f t="shared" si="13"/>
        <v>45404</v>
      </c>
      <c r="B115" s="84">
        <v>30.29</v>
      </c>
      <c r="C115" s="84">
        <v>1025.7</v>
      </c>
      <c r="D115" s="84">
        <v>70.7</v>
      </c>
      <c r="E115" s="84">
        <v>1030.9000000000001</v>
      </c>
      <c r="F115" s="84">
        <v>8</v>
      </c>
      <c r="G115" s="84">
        <v>0</v>
      </c>
      <c r="H115" s="84">
        <v>0</v>
      </c>
      <c r="I115" s="84">
        <v>7</v>
      </c>
      <c r="J115" s="84">
        <v>63</v>
      </c>
      <c r="K115" s="84">
        <v>1</v>
      </c>
      <c r="L115" s="84">
        <v>0</v>
      </c>
      <c r="M115" s="84">
        <v>6.4</v>
      </c>
      <c r="N115" s="84">
        <v>5.2</v>
      </c>
      <c r="O115" s="84">
        <v>82</v>
      </c>
      <c r="P115" s="84">
        <v>3.6</v>
      </c>
      <c r="Q115" s="84">
        <v>9.4</v>
      </c>
      <c r="R115" s="84">
        <v>11.3</v>
      </c>
      <c r="S115" s="84">
        <v>11.4</v>
      </c>
      <c r="T115" s="84">
        <v>9</v>
      </c>
      <c r="U115" s="84">
        <v>3</v>
      </c>
      <c r="V115" s="84">
        <v>6</v>
      </c>
      <c r="W115" s="84">
        <v>1.4</v>
      </c>
      <c r="X115" s="84">
        <v>3.3</v>
      </c>
      <c r="Y115" s="84">
        <v>3.1</v>
      </c>
      <c r="Z115" s="84">
        <v>0</v>
      </c>
    </row>
    <row r="116" spans="1:26">
      <c r="A116" s="78">
        <f t="shared" si="13"/>
        <v>45405</v>
      </c>
      <c r="B116" s="84">
        <v>30.077999999999999</v>
      </c>
      <c r="C116" s="84">
        <v>1018.6</v>
      </c>
      <c r="D116" s="84">
        <v>72.2</v>
      </c>
      <c r="E116" s="84">
        <v>1023.4</v>
      </c>
      <c r="F116" s="84">
        <v>7</v>
      </c>
      <c r="G116" s="84">
        <v>11</v>
      </c>
      <c r="H116" s="84">
        <v>7.7</v>
      </c>
      <c r="I116" s="84">
        <v>7</v>
      </c>
      <c r="J116" s="84">
        <v>2</v>
      </c>
      <c r="K116" s="84">
        <v>1</v>
      </c>
      <c r="L116" s="84">
        <v>0</v>
      </c>
      <c r="M116" s="84">
        <v>8.9</v>
      </c>
      <c r="N116" s="84">
        <v>6.5</v>
      </c>
      <c r="O116" s="84">
        <v>68</v>
      </c>
      <c r="P116" s="84">
        <v>3.3</v>
      </c>
      <c r="Q116" s="84">
        <v>10.1</v>
      </c>
      <c r="R116" s="84">
        <v>11.2</v>
      </c>
      <c r="S116" s="84">
        <v>11.4</v>
      </c>
      <c r="T116" s="84">
        <v>11.8</v>
      </c>
      <c r="U116" s="84">
        <v>5.5</v>
      </c>
      <c r="V116" s="84">
        <v>8.6999999999999993</v>
      </c>
      <c r="W116" s="84">
        <v>7</v>
      </c>
      <c r="X116" s="84">
        <v>6.5</v>
      </c>
      <c r="Y116" s="84">
        <v>0.1</v>
      </c>
      <c r="Z116" s="84">
        <v>4.5999999999999996</v>
      </c>
    </row>
    <row r="117" spans="1:26">
      <c r="A117" s="78">
        <f t="shared" si="13"/>
        <v>45406</v>
      </c>
      <c r="B117" s="84">
        <v>29.968</v>
      </c>
      <c r="C117" s="84">
        <v>1014.8</v>
      </c>
      <c r="D117" s="84">
        <v>72</v>
      </c>
      <c r="E117" s="84">
        <v>1019.7</v>
      </c>
      <c r="F117" s="84">
        <v>7</v>
      </c>
      <c r="G117" s="84">
        <v>8</v>
      </c>
      <c r="H117" s="84">
        <v>5.6</v>
      </c>
      <c r="I117" s="84">
        <v>8</v>
      </c>
      <c r="J117" s="84">
        <v>2</v>
      </c>
      <c r="K117" s="84">
        <v>1</v>
      </c>
      <c r="L117" s="84">
        <v>0</v>
      </c>
      <c r="M117" s="84">
        <v>7.6</v>
      </c>
      <c r="N117" s="84">
        <v>5</v>
      </c>
      <c r="O117" s="84">
        <v>64</v>
      </c>
      <c r="P117" s="84">
        <v>1.2</v>
      </c>
      <c r="Q117" s="84">
        <v>9.6999999999999993</v>
      </c>
      <c r="R117" s="84">
        <v>11.3</v>
      </c>
      <c r="S117" s="84">
        <v>11.4</v>
      </c>
      <c r="T117" s="84">
        <v>9</v>
      </c>
      <c r="U117" s="84">
        <v>4.3</v>
      </c>
      <c r="V117" s="84">
        <v>6.7</v>
      </c>
      <c r="W117" s="84">
        <v>4.2</v>
      </c>
      <c r="X117" s="84">
        <v>4.8</v>
      </c>
      <c r="Y117" s="84" t="s">
        <v>61</v>
      </c>
      <c r="Z117" s="84">
        <v>5.3</v>
      </c>
    </row>
    <row r="118" spans="1:26">
      <c r="A118" s="78">
        <f t="shared" si="13"/>
        <v>45407</v>
      </c>
      <c r="B118" s="84">
        <v>29.536000000000001</v>
      </c>
      <c r="C118" s="84">
        <v>1000.2</v>
      </c>
      <c r="D118" s="84">
        <v>72.2</v>
      </c>
      <c r="E118" s="84">
        <v>1004.9</v>
      </c>
      <c r="F118" s="84">
        <v>6</v>
      </c>
      <c r="G118" s="84">
        <v>9</v>
      </c>
      <c r="H118" s="84">
        <v>6.3</v>
      </c>
      <c r="I118" s="84">
        <v>8</v>
      </c>
      <c r="J118" s="84">
        <v>2</v>
      </c>
      <c r="K118" s="84">
        <v>1</v>
      </c>
      <c r="L118" s="84">
        <v>0</v>
      </c>
      <c r="M118" s="84">
        <v>9</v>
      </c>
      <c r="N118" s="84">
        <v>6.2</v>
      </c>
      <c r="O118" s="84">
        <v>63</v>
      </c>
      <c r="P118" s="84">
        <v>2.4</v>
      </c>
      <c r="Q118" s="84">
        <v>9</v>
      </c>
      <c r="R118" s="84">
        <v>11.3</v>
      </c>
      <c r="S118" s="84">
        <v>11.4</v>
      </c>
      <c r="T118" s="84">
        <v>11.8</v>
      </c>
      <c r="U118" s="84">
        <v>3.4</v>
      </c>
      <c r="V118" s="84">
        <v>7.6</v>
      </c>
      <c r="W118" s="84">
        <v>-2</v>
      </c>
      <c r="X118" s="84">
        <v>3.4</v>
      </c>
      <c r="Y118" s="84" t="s">
        <v>61</v>
      </c>
      <c r="Z118" s="84">
        <v>2.2000000000000002</v>
      </c>
    </row>
    <row r="119" spans="1:26">
      <c r="A119" s="78">
        <f t="shared" si="13"/>
        <v>45408</v>
      </c>
      <c r="B119" s="84">
        <v>29.504000000000001</v>
      </c>
      <c r="C119" s="84">
        <v>999.1</v>
      </c>
      <c r="D119" s="84">
        <v>72.400000000000006</v>
      </c>
      <c r="E119" s="84">
        <v>1003.8</v>
      </c>
      <c r="F119" s="84">
        <v>5</v>
      </c>
      <c r="G119" s="84">
        <v>8</v>
      </c>
      <c r="H119" s="84">
        <v>5.6</v>
      </c>
      <c r="I119" s="84">
        <v>8</v>
      </c>
      <c r="J119" s="84">
        <v>2</v>
      </c>
      <c r="K119" s="84">
        <v>1</v>
      </c>
      <c r="L119" s="84">
        <v>0</v>
      </c>
      <c r="M119" s="84">
        <v>7.8</v>
      </c>
      <c r="N119" s="84">
        <v>5.4</v>
      </c>
      <c r="O119" s="84">
        <v>67</v>
      </c>
      <c r="P119" s="84">
        <v>2</v>
      </c>
      <c r="Q119" s="84">
        <v>9.1</v>
      </c>
      <c r="R119" s="84">
        <v>10.9</v>
      </c>
      <c r="S119" s="84">
        <v>11.4</v>
      </c>
      <c r="T119" s="84">
        <v>12.4</v>
      </c>
      <c r="U119" s="84">
        <v>2.9</v>
      </c>
      <c r="V119" s="84">
        <v>7.7</v>
      </c>
      <c r="W119" s="84">
        <v>3.8</v>
      </c>
      <c r="X119" s="84">
        <v>3.4</v>
      </c>
      <c r="Y119" s="84">
        <v>2</v>
      </c>
      <c r="Z119" s="84">
        <v>5</v>
      </c>
    </row>
    <row r="120" spans="1:26">
      <c r="A120" s="78">
        <f t="shared" si="13"/>
        <v>45409</v>
      </c>
      <c r="B120" s="84">
        <v>29.536000000000001</v>
      </c>
      <c r="C120" s="84">
        <v>1000.2</v>
      </c>
      <c r="D120" s="84">
        <v>69.900000000000006</v>
      </c>
      <c r="E120" s="84">
        <v>1005.2</v>
      </c>
      <c r="F120" s="84">
        <v>8</v>
      </c>
      <c r="G120" s="84">
        <v>9</v>
      </c>
      <c r="H120" s="84">
        <v>6.3</v>
      </c>
      <c r="I120" s="84">
        <v>8</v>
      </c>
      <c r="J120" s="84">
        <v>51</v>
      </c>
      <c r="K120" s="84">
        <v>1</v>
      </c>
      <c r="L120" s="84">
        <v>0</v>
      </c>
      <c r="M120" s="84">
        <v>5.9</v>
      </c>
      <c r="N120" s="84">
        <v>5.4</v>
      </c>
      <c r="O120" s="84">
        <v>92</v>
      </c>
      <c r="P120" s="84">
        <v>4.7</v>
      </c>
      <c r="Q120" s="84">
        <v>9.6</v>
      </c>
      <c r="R120" s="84">
        <v>11.4</v>
      </c>
      <c r="S120" s="84">
        <v>11.3</v>
      </c>
      <c r="T120" s="84">
        <v>9.4</v>
      </c>
      <c r="U120" s="84">
        <v>4.7</v>
      </c>
      <c r="V120" s="84">
        <v>7.1</v>
      </c>
      <c r="W120" s="84">
        <v>6.8</v>
      </c>
      <c r="X120" s="84">
        <v>6</v>
      </c>
      <c r="Y120" s="84">
        <v>23.5</v>
      </c>
      <c r="Z120" s="84">
        <v>0</v>
      </c>
    </row>
    <row r="121" spans="1:26">
      <c r="A121" s="78">
        <f t="shared" si="13"/>
        <v>45410</v>
      </c>
      <c r="B121" s="84">
        <v>29.442</v>
      </c>
      <c r="C121" s="84">
        <v>997</v>
      </c>
      <c r="D121" s="84">
        <v>71.400000000000006</v>
      </c>
      <c r="E121" s="84">
        <v>1001.9</v>
      </c>
      <c r="F121" s="84">
        <v>8</v>
      </c>
      <c r="G121" s="84">
        <v>12</v>
      </c>
      <c r="H121" s="84">
        <v>8.4</v>
      </c>
      <c r="I121" s="84">
        <v>8</v>
      </c>
      <c r="J121" s="84">
        <v>50</v>
      </c>
      <c r="K121" s="84">
        <v>1</v>
      </c>
      <c r="L121" s="84">
        <v>0</v>
      </c>
      <c r="M121" s="84">
        <v>6.6</v>
      </c>
      <c r="N121" s="84">
        <v>5.8</v>
      </c>
      <c r="O121" s="84">
        <v>88</v>
      </c>
      <c r="P121" s="84">
        <v>4.8</v>
      </c>
      <c r="Q121" s="84">
        <v>8.8000000000000007</v>
      </c>
      <c r="R121" s="84">
        <v>10.8</v>
      </c>
      <c r="S121" s="84">
        <v>11.4</v>
      </c>
      <c r="T121" s="84">
        <v>12</v>
      </c>
      <c r="U121" s="84">
        <v>4.5</v>
      </c>
      <c r="V121" s="84">
        <v>8.3000000000000007</v>
      </c>
      <c r="W121" s="84">
        <v>5.6</v>
      </c>
      <c r="X121" s="84">
        <v>2.9</v>
      </c>
      <c r="Y121" s="84">
        <v>0.9</v>
      </c>
      <c r="Z121" s="84">
        <v>1.5</v>
      </c>
    </row>
    <row r="122" spans="1:26">
      <c r="A122" s="78">
        <f t="shared" si="13"/>
        <v>45411</v>
      </c>
      <c r="B122" s="84">
        <v>29.818000000000001</v>
      </c>
      <c r="C122" s="84">
        <v>1009.8</v>
      </c>
      <c r="D122" s="84">
        <v>71.400000000000006</v>
      </c>
      <c r="E122" s="84">
        <v>1014.5</v>
      </c>
      <c r="F122" s="84">
        <v>7</v>
      </c>
      <c r="G122" s="84">
        <v>13</v>
      </c>
      <c r="H122" s="84">
        <v>9.1</v>
      </c>
      <c r="I122" s="84">
        <v>8</v>
      </c>
      <c r="J122" s="84">
        <v>3</v>
      </c>
      <c r="K122" s="84">
        <v>1</v>
      </c>
      <c r="L122" s="84">
        <v>0</v>
      </c>
      <c r="M122" s="84">
        <v>12</v>
      </c>
      <c r="N122" s="84">
        <v>9.1</v>
      </c>
      <c r="O122" s="84">
        <v>66</v>
      </c>
      <c r="P122" s="84">
        <v>5.8</v>
      </c>
      <c r="Q122" s="84">
        <v>9</v>
      </c>
      <c r="R122" s="84">
        <v>10.5</v>
      </c>
      <c r="S122" s="84">
        <v>11.4</v>
      </c>
      <c r="T122" s="84">
        <v>15.1</v>
      </c>
      <c r="U122" s="84">
        <v>4.4000000000000004</v>
      </c>
      <c r="V122" s="84">
        <v>9.8000000000000007</v>
      </c>
      <c r="W122" s="84">
        <v>-0.2</v>
      </c>
      <c r="X122" s="84">
        <v>2.9</v>
      </c>
      <c r="Y122" s="84" t="s">
        <v>22</v>
      </c>
      <c r="Z122" s="84">
        <v>8.5</v>
      </c>
    </row>
    <row r="123" spans="1:26">
      <c r="A123" s="78">
        <f t="shared" si="13"/>
        <v>45412</v>
      </c>
      <c r="B123" s="84">
        <v>29.71</v>
      </c>
      <c r="C123" s="84">
        <v>1006.1</v>
      </c>
      <c r="D123" s="84">
        <v>72.400000000000006</v>
      </c>
      <c r="E123" s="84">
        <v>1010.7</v>
      </c>
      <c r="F123" s="84">
        <v>1</v>
      </c>
      <c r="G123" s="84">
        <v>16</v>
      </c>
      <c r="H123" s="84">
        <v>11.2</v>
      </c>
      <c r="I123" s="84">
        <v>8</v>
      </c>
      <c r="J123" s="84">
        <v>2</v>
      </c>
      <c r="K123" s="84">
        <v>0</v>
      </c>
      <c r="L123" s="84">
        <v>0</v>
      </c>
      <c r="M123" s="84">
        <v>15</v>
      </c>
      <c r="N123" s="84">
        <v>10.5</v>
      </c>
      <c r="O123" s="84">
        <v>53</v>
      </c>
      <c r="P123" s="84">
        <v>5.6</v>
      </c>
      <c r="Q123" s="84">
        <v>10.8</v>
      </c>
      <c r="R123" s="84">
        <v>11.1</v>
      </c>
      <c r="S123" s="84">
        <v>11.3</v>
      </c>
      <c r="T123" s="84">
        <v>18.3</v>
      </c>
      <c r="U123" s="84">
        <v>6.9</v>
      </c>
      <c r="V123" s="84">
        <v>12.6</v>
      </c>
      <c r="W123" s="84">
        <v>3.8</v>
      </c>
      <c r="X123" s="84">
        <v>5.3</v>
      </c>
      <c r="Y123" s="84" t="s">
        <v>61</v>
      </c>
      <c r="Z123" s="84">
        <v>10.7</v>
      </c>
    </row>
    <row r="124" spans="1:26">
      <c r="A124" s="78">
        <f t="shared" si="13"/>
        <v>45413</v>
      </c>
      <c r="B124" s="91">
        <v>29.673999999999999</v>
      </c>
      <c r="C124" s="92">
        <f>B124*33.86388</f>
        <v>1004.87677512</v>
      </c>
      <c r="D124" s="92">
        <v>74</v>
      </c>
      <c r="E124" s="92">
        <f>(C124-0.163*((D124-32)*5/9) + (0.5685 *((C124-0.163*((D124-32)*5/9)))/1000)) *EXP([4]Calc!$C$14/((M124+273.15)+((0.0065*64.6)/2)+(0.12*0.85*((6.112*EXP((17.67*M124)/(M124+243.5)))))))</f>
        <v>1009.3241723564661</v>
      </c>
      <c r="F124" s="93">
        <v>4</v>
      </c>
      <c r="G124" s="94">
        <v>5</v>
      </c>
      <c r="H124" s="32">
        <f>G124*0.7</f>
        <v>3.5</v>
      </c>
      <c r="I124" s="84">
        <v>8</v>
      </c>
      <c r="J124" s="95">
        <v>2</v>
      </c>
      <c r="K124" s="84">
        <v>0</v>
      </c>
      <c r="L124" s="84">
        <v>0</v>
      </c>
      <c r="M124" s="96">
        <v>13.9</v>
      </c>
      <c r="N124" s="96">
        <v>11.7</v>
      </c>
      <c r="O124" s="93">
        <f>IF(M124&gt;0,100*(((6.112*EXP((17.67*N124)/(N124+243.5)))-0.8*(M124-N124))/(6.112*EXP((17.67*M124)/(M124+243.5)))),100*(((6.109*EXP((22.5*N124)/(N124+273)))-0.8*(M124-N124))/(6.109*EXP((22.5*M124)/(M124+273)))))</f>
        <v>75.490209060231152</v>
      </c>
      <c r="P124" s="96">
        <f t="shared" ref="P124" si="14">IF(M124&gt;0, (243.5*LN(((6.112*EXP((17.67*N124)/(N124+243.5)))-0.8*(M124-N124))/6.112))/(17.67-LN(((6.112*EXP((17.67*N124)/(N124+243.5)))-0.8*(M124-N124))/6.112)),(273*LN(((6.109*EXP((22.5*N124)/(N124+273)))-0.8*(M124-N124))/6.109))/(22.5-LN(((6.109*EXP((22.5*N124)/(N124+273)))-0.8*(M124-N124))/6.109)))</f>
        <v>9.642036028158671</v>
      </c>
      <c r="Q124" s="97">
        <v>12.6</v>
      </c>
      <c r="R124" s="96">
        <v>12.4</v>
      </c>
      <c r="S124" s="96">
        <v>11.3</v>
      </c>
      <c r="T124" s="96">
        <v>17.5</v>
      </c>
      <c r="U124" s="96">
        <v>9</v>
      </c>
      <c r="V124" s="96">
        <f>AVERAGE(T124:U124)</f>
        <v>13.25</v>
      </c>
      <c r="W124" s="96">
        <v>5</v>
      </c>
      <c r="X124" s="96">
        <v>7.9</v>
      </c>
      <c r="Y124" s="98">
        <v>4.5</v>
      </c>
      <c r="Z124" s="99">
        <v>2.8</v>
      </c>
    </row>
    <row r="125" spans="1:26">
      <c r="A125" s="78">
        <f t="shared" si="13"/>
        <v>45414</v>
      </c>
      <c r="B125" s="91">
        <v>29.443999999999999</v>
      </c>
      <c r="C125" s="92">
        <f t="shared" ref="C125:C154" si="15">B125*33.86388</f>
        <v>997.08808271999999</v>
      </c>
      <c r="D125" s="92">
        <v>72.8</v>
      </c>
      <c r="E125" s="92">
        <f>(C125-0.163*((D125-32)*5/9) + (0.5685 *((C125-0.163*((D125-32)*5/9)))/1000)) *EXP([4]Calc!$C$14/((M125+273.15)+((0.0065*64.6)/2)+(0.12*0.85*((6.112*EXP((17.67*M125)/(M125+243.5)))))))</f>
        <v>1001.6571989357793</v>
      </c>
      <c r="F125" s="93">
        <v>8</v>
      </c>
      <c r="G125" s="94">
        <v>5</v>
      </c>
      <c r="H125" s="32">
        <f t="shared" ref="H125:H154" si="16">G125*0.7</f>
        <v>3.5</v>
      </c>
      <c r="I125" s="84">
        <v>4</v>
      </c>
      <c r="J125" s="95">
        <v>2</v>
      </c>
      <c r="K125" s="84">
        <v>2</v>
      </c>
      <c r="L125" s="84">
        <v>0</v>
      </c>
      <c r="M125" s="96">
        <v>11.3</v>
      </c>
      <c r="N125" s="96">
        <v>10.8</v>
      </c>
      <c r="O125" s="93">
        <f t="shared" ref="O125:O154" si="17">IF(M125&gt;0,100*(((6.112*EXP((17.67*N125)/(N125+243.5)))-0.8*(M125-N125))/(6.112*EXP((17.67*M125)/(M125+243.5)))),100*(((6.109*EXP((22.5*N125)/(N125+273)))-0.8*(M125-N125))/(6.109*EXP((22.5*M125)/(M125+273)))))</f>
        <v>93.745202418911575</v>
      </c>
      <c r="P125" s="96">
        <f>IF(M125&gt;0, (243.5*LN(((6.112*EXP((17.67*N125)/(N125+243.5)))-0.8*(M125-N125))/6.112))/(17.67-LN(((6.112*EXP((17.67*N125)/(N125+243.5)))-0.8*(M125-N125))/6.112)),(273*LN(((6.109*EXP((22.5*N125)/(N125+273)))-0.8*(M125-N125))/6.109))/(22.5-LN(((6.109*EXP((22.5*N125)/(N125+273)))-0.8*(M125-N125))/6.109)))</f>
        <v>10.329113223669442</v>
      </c>
      <c r="Q125" s="97">
        <v>12.7</v>
      </c>
      <c r="R125" s="96">
        <v>13.1</v>
      </c>
      <c r="S125" s="96">
        <v>10.3</v>
      </c>
      <c r="T125" s="96">
        <v>14.9</v>
      </c>
      <c r="U125" s="96">
        <v>9.8000000000000007</v>
      </c>
      <c r="V125" s="96">
        <f t="shared" ref="V125:V154" si="18">AVERAGE(T125:U125)</f>
        <v>12.350000000000001</v>
      </c>
      <c r="W125" s="96">
        <v>9.6</v>
      </c>
      <c r="X125" s="96">
        <v>10.9</v>
      </c>
      <c r="Y125" s="98">
        <v>3.2</v>
      </c>
      <c r="Z125" s="99">
        <v>0</v>
      </c>
    </row>
    <row r="126" spans="1:26">
      <c r="A126" s="78">
        <f t="shared" si="13"/>
        <v>45415</v>
      </c>
      <c r="B126" s="91">
        <v>29.576000000000001</v>
      </c>
      <c r="C126" s="92">
        <f t="shared" si="15"/>
        <v>1001.5581148800001</v>
      </c>
      <c r="D126" s="92">
        <v>73.400000000000006</v>
      </c>
      <c r="E126" s="92">
        <f>(C126-0.163*((D126-32)*5/9) + (0.5685 *((C126-0.163*((D126-32)*5/9)))/1000)) *EXP([4]Calc!$C$14/((M126+273.15)+((0.0065*64.6)/2)+(0.12*0.85*((6.112*EXP((17.67*M126)/(M126+243.5)))))))</f>
        <v>1006.1630456687693</v>
      </c>
      <c r="F126" s="93">
        <v>8</v>
      </c>
      <c r="G126" s="94">
        <v>12</v>
      </c>
      <c r="H126" s="32">
        <f t="shared" si="16"/>
        <v>8.3999999999999986</v>
      </c>
      <c r="I126" s="84">
        <v>5</v>
      </c>
      <c r="J126" s="95">
        <v>58</v>
      </c>
      <c r="K126" s="84">
        <v>2</v>
      </c>
      <c r="L126" s="84">
        <v>0</v>
      </c>
      <c r="M126" s="96">
        <v>9.5</v>
      </c>
      <c r="N126" s="96">
        <v>9</v>
      </c>
      <c r="O126" s="93">
        <f t="shared" si="17"/>
        <v>93.317725705746739</v>
      </c>
      <c r="P126" s="96">
        <f t="shared" ref="P126:P154" si="19">IF(M126&gt;0, (243.5*LN(((6.112*EXP((17.67*N126)/(N126+243.5)))-0.8*(M126-N126))/6.112))/(17.67-LN(((6.112*EXP((17.67*N126)/(N126+243.5)))-0.8*(M126-N126))/6.112)),(273*LN(((6.109*EXP((22.5*N126)/(N126+273)))-0.8*(M126-N126))/6.109))/(22.5-LN(((6.109*EXP((22.5*N126)/(N126+273)))-0.8*(M126-N126))/6.109)))</f>
        <v>8.4752954963243834</v>
      </c>
      <c r="Q126" s="97">
        <v>11.7</v>
      </c>
      <c r="R126" s="96">
        <v>13</v>
      </c>
      <c r="S126" s="96">
        <v>11.5</v>
      </c>
      <c r="T126" s="96">
        <v>12</v>
      </c>
      <c r="U126" s="96">
        <v>8.6</v>
      </c>
      <c r="V126" s="96">
        <f t="shared" si="18"/>
        <v>10.3</v>
      </c>
      <c r="W126" s="96">
        <v>10.199999999999999</v>
      </c>
      <c r="X126" s="96">
        <v>9.5</v>
      </c>
      <c r="Y126" s="98">
        <v>5.4</v>
      </c>
      <c r="Z126" s="99">
        <v>0</v>
      </c>
    </row>
    <row r="127" spans="1:26">
      <c r="A127" s="78">
        <f t="shared" si="13"/>
        <v>45416</v>
      </c>
      <c r="B127" s="91">
        <v>29.68</v>
      </c>
      <c r="C127" s="92">
        <f t="shared" si="15"/>
        <v>1005.0799584</v>
      </c>
      <c r="D127" s="92">
        <v>73.400000000000006</v>
      </c>
      <c r="E127" s="92">
        <f>(C127-0.163*((D127-32)*5/9) + (0.5685 *((C127-0.163*((D127-32)*5/9)))/1000)) *EXP([4]Calc!$C$14/((M127+273.15)+((0.0065*64.6)/2)+(0.12*0.85*((6.112*EXP((17.67*M127)/(M127+243.5)))))))</f>
        <v>1009.6429657553268</v>
      </c>
      <c r="F127" s="93">
        <v>4</v>
      </c>
      <c r="G127" s="94">
        <v>4</v>
      </c>
      <c r="H127" s="32">
        <f t="shared" si="16"/>
        <v>2.8</v>
      </c>
      <c r="I127" s="84">
        <v>8</v>
      </c>
      <c r="J127" s="95">
        <v>2</v>
      </c>
      <c r="K127" s="84">
        <v>1</v>
      </c>
      <c r="L127" s="84">
        <v>0</v>
      </c>
      <c r="M127" s="96">
        <v>11.9</v>
      </c>
      <c r="N127" s="96">
        <v>9.8000000000000007</v>
      </c>
      <c r="O127" s="93">
        <f t="shared" si="17"/>
        <v>74.898521933348363</v>
      </c>
      <c r="P127" s="96">
        <f t="shared" si="19"/>
        <v>7.5920532281199389</v>
      </c>
      <c r="Q127" s="97">
        <v>11.2</v>
      </c>
      <c r="R127" s="96">
        <v>12.4</v>
      </c>
      <c r="S127" s="96">
        <v>11.8</v>
      </c>
      <c r="T127" s="96">
        <v>17.8</v>
      </c>
      <c r="U127" s="96">
        <v>5.4</v>
      </c>
      <c r="V127" s="96">
        <f t="shared" si="18"/>
        <v>11.600000000000001</v>
      </c>
      <c r="W127" s="96">
        <v>3</v>
      </c>
      <c r="X127" s="96">
        <v>4.9000000000000004</v>
      </c>
      <c r="Y127" s="98" t="s">
        <v>21</v>
      </c>
      <c r="Z127" s="99">
        <v>7.8</v>
      </c>
    </row>
    <row r="128" spans="1:26">
      <c r="A128" s="78">
        <f t="shared" si="13"/>
        <v>45417</v>
      </c>
      <c r="B128" s="91">
        <v>29.664000000000001</v>
      </c>
      <c r="C128" s="92">
        <f t="shared" si="15"/>
        <v>1004.5381363200001</v>
      </c>
      <c r="D128" s="92">
        <v>72.900000000000006</v>
      </c>
      <c r="E128" s="92">
        <f>(C128-0.163*((D128-32)*5/9) + (0.5685 *((C128-0.163*((D128-32)*5/9)))/1000)) *EXP([4]Calc!$C$14/((M128+273.15)+((0.0065*64.6)/2)+(0.12*0.85*((6.112*EXP((17.67*M128)/(M128+243.5)))))))</f>
        <v>1009.0478299713424</v>
      </c>
      <c r="F128" s="93">
        <v>5</v>
      </c>
      <c r="G128" s="94">
        <v>7</v>
      </c>
      <c r="H128" s="32">
        <f t="shared" si="16"/>
        <v>4.8999999999999995</v>
      </c>
      <c r="I128" s="84">
        <v>8</v>
      </c>
      <c r="J128" s="95">
        <v>2</v>
      </c>
      <c r="K128" s="84">
        <v>1</v>
      </c>
      <c r="L128" s="84">
        <v>0</v>
      </c>
      <c r="M128" s="96">
        <v>15.1</v>
      </c>
      <c r="N128" s="96">
        <v>10.7</v>
      </c>
      <c r="O128" s="93">
        <f t="shared" si="17"/>
        <v>54.452426256542211</v>
      </c>
      <c r="P128" s="96">
        <f t="shared" si="19"/>
        <v>5.985566266544958</v>
      </c>
      <c r="Q128" s="97">
        <v>12.8</v>
      </c>
      <c r="R128" s="96">
        <v>13.2</v>
      </c>
      <c r="S128" s="96">
        <v>11.8</v>
      </c>
      <c r="T128" s="96">
        <v>17</v>
      </c>
      <c r="U128" s="96">
        <v>6.1</v>
      </c>
      <c r="V128" s="96">
        <f t="shared" si="18"/>
        <v>11.55</v>
      </c>
      <c r="W128" s="96">
        <v>2.9</v>
      </c>
      <c r="X128" s="96">
        <v>6.1</v>
      </c>
      <c r="Y128" s="98">
        <v>0.3</v>
      </c>
      <c r="Z128" s="99">
        <v>5.6</v>
      </c>
    </row>
    <row r="129" spans="1:26">
      <c r="A129" s="78">
        <f t="shared" si="13"/>
        <v>45418</v>
      </c>
      <c r="B129" s="91">
        <v>29.634</v>
      </c>
      <c r="C129" s="92">
        <f t="shared" si="15"/>
        <v>1003.5222199200001</v>
      </c>
      <c r="D129" s="92">
        <v>73.400000000000006</v>
      </c>
      <c r="E129" s="92">
        <f>(C129-0.163*((D129-32)*5/9) + (0.5685 *((C129-0.163*((D129-32)*5/9)))/1000)) *EXP([4]Calc!$C$14/((M129+273.15)+((0.0065*64.6)/2)+(0.12*0.85*((6.112*EXP((17.67*M129)/(M129+243.5)))))))</f>
        <v>1008.0043989580945</v>
      </c>
      <c r="F129" s="93">
        <v>6</v>
      </c>
      <c r="G129" s="94">
        <v>5</v>
      </c>
      <c r="H129" s="32">
        <f t="shared" si="16"/>
        <v>3.5</v>
      </c>
      <c r="I129" s="84">
        <v>8</v>
      </c>
      <c r="J129" s="95">
        <v>2</v>
      </c>
      <c r="K129" s="84">
        <v>1</v>
      </c>
      <c r="L129" s="84">
        <v>0</v>
      </c>
      <c r="M129" s="96">
        <v>14.2</v>
      </c>
      <c r="N129" s="96">
        <v>12.4</v>
      </c>
      <c r="O129" s="93">
        <f t="shared" si="17"/>
        <v>80.020627024875523</v>
      </c>
      <c r="P129" s="96">
        <f t="shared" si="19"/>
        <v>10.805182663582954</v>
      </c>
      <c r="Q129" s="97">
        <v>13.4</v>
      </c>
      <c r="R129" s="96">
        <v>13.4</v>
      </c>
      <c r="S129" s="96">
        <v>11.8</v>
      </c>
      <c r="T129" s="96">
        <v>21.6</v>
      </c>
      <c r="U129" s="96">
        <v>8.6</v>
      </c>
      <c r="V129" s="96">
        <f t="shared" si="18"/>
        <v>15.100000000000001</v>
      </c>
      <c r="W129" s="96">
        <v>7.3</v>
      </c>
      <c r="X129" s="96">
        <v>9.1</v>
      </c>
      <c r="Y129" s="98">
        <v>0</v>
      </c>
      <c r="Z129" s="99">
        <v>0.15</v>
      </c>
    </row>
    <row r="130" spans="1:26">
      <c r="A130" s="78">
        <f t="shared" si="13"/>
        <v>45419</v>
      </c>
      <c r="B130" s="91">
        <v>30.033999999999999</v>
      </c>
      <c r="C130" s="92">
        <f t="shared" si="15"/>
        <v>1017.06777192</v>
      </c>
      <c r="D130" s="92">
        <v>72.5</v>
      </c>
      <c r="E130" s="92">
        <f>(C130-0.163*((D130-32)*5/9) + (0.5685 *((C130-0.163*((D130-32)*5/9)))/1000)) *EXP([4]Calc!$C$14/((M130+273.15)+((0.0065*64.6)/2)+(0.12*0.85*((6.112*EXP((17.67*M130)/(M130+243.5)))))))</f>
        <v>1021.7108541630448</v>
      </c>
      <c r="F130" s="93">
        <v>1</v>
      </c>
      <c r="G130" s="94">
        <v>4</v>
      </c>
      <c r="H130" s="32">
        <f t="shared" si="16"/>
        <v>2.8</v>
      </c>
      <c r="I130" s="84">
        <v>8</v>
      </c>
      <c r="J130" s="95">
        <v>2</v>
      </c>
      <c r="K130" s="84">
        <v>1</v>
      </c>
      <c r="L130" s="84">
        <v>0</v>
      </c>
      <c r="M130" s="96">
        <v>15.3</v>
      </c>
      <c r="N130" s="96">
        <v>12.3</v>
      </c>
      <c r="O130" s="93">
        <f t="shared" si="17"/>
        <v>68.470083167767754</v>
      </c>
      <c r="P130" s="96">
        <f t="shared" si="19"/>
        <v>9.5351378935412807</v>
      </c>
      <c r="Q130" s="97">
        <v>13.1</v>
      </c>
      <c r="R130" s="96">
        <v>13.5</v>
      </c>
      <c r="S130" s="96">
        <v>12</v>
      </c>
      <c r="T130" s="96">
        <v>18.2</v>
      </c>
      <c r="U130" s="96">
        <v>7.6</v>
      </c>
      <c r="V130" s="96">
        <f t="shared" si="18"/>
        <v>12.899999999999999</v>
      </c>
      <c r="W130" s="96">
        <v>7.2</v>
      </c>
      <c r="X130" s="96">
        <v>7</v>
      </c>
      <c r="Y130" s="98" t="s">
        <v>61</v>
      </c>
      <c r="Z130" s="99">
        <v>11.2</v>
      </c>
    </row>
    <row r="131" spans="1:26">
      <c r="A131" s="78">
        <f t="shared" si="13"/>
        <v>45420</v>
      </c>
      <c r="B131" s="91">
        <v>30.247</v>
      </c>
      <c r="C131" s="92">
        <f t="shared" si="15"/>
        <v>1024.2807783600001</v>
      </c>
      <c r="D131" s="92">
        <v>74.5</v>
      </c>
      <c r="E131" s="92">
        <f>(C131-0.163*((D131-32)*5/9) + (0.5685 *((C131-0.163*((D131-32)*5/9)))/1000)) *EXP([4]Calc!$C$14/((M131+273.15)+((0.0065*64.6)/2)+(0.12*0.85*((6.112*EXP((17.67*M131)/(M131+243.5)))))))</f>
        <v>1028.749524339464</v>
      </c>
      <c r="F131" s="93">
        <v>2</v>
      </c>
      <c r="G131" s="94">
        <v>4</v>
      </c>
      <c r="H131" s="32">
        <f t="shared" si="16"/>
        <v>2.8</v>
      </c>
      <c r="I131" s="84">
        <v>8</v>
      </c>
      <c r="J131" s="95">
        <v>2</v>
      </c>
      <c r="K131" s="84">
        <v>1</v>
      </c>
      <c r="L131" s="84">
        <v>0</v>
      </c>
      <c r="M131" s="96">
        <v>17</v>
      </c>
      <c r="N131" s="96">
        <v>12.4</v>
      </c>
      <c r="O131" s="93">
        <f t="shared" si="17"/>
        <v>55.30660563891626</v>
      </c>
      <c r="P131" s="96">
        <f t="shared" si="19"/>
        <v>7.9821129303102785</v>
      </c>
      <c r="Q131" s="97">
        <v>14.5</v>
      </c>
      <c r="R131" s="96">
        <v>14.1</v>
      </c>
      <c r="S131" s="96">
        <v>12.1</v>
      </c>
      <c r="T131" s="96">
        <v>19.7</v>
      </c>
      <c r="U131" s="96">
        <v>7.1</v>
      </c>
      <c r="V131" s="96">
        <f t="shared" si="18"/>
        <v>13.399999999999999</v>
      </c>
      <c r="W131" s="96">
        <v>4</v>
      </c>
      <c r="X131" s="96">
        <v>7.1</v>
      </c>
      <c r="Y131" s="98" t="s">
        <v>61</v>
      </c>
      <c r="Z131" s="99">
        <v>12.2</v>
      </c>
    </row>
    <row r="132" spans="1:26">
      <c r="A132" s="78">
        <f t="shared" ref="A132:A195" si="20">A131+1</f>
        <v>45421</v>
      </c>
      <c r="B132" s="91">
        <v>30.2</v>
      </c>
      <c r="C132" s="92">
        <f t="shared" si="15"/>
        <v>1022.689176</v>
      </c>
      <c r="D132" s="92">
        <v>76</v>
      </c>
      <c r="E132" s="92">
        <f>(C132-0.163*((D132-32)*5/9) + (0.5685 *((C132-0.163*((D132-32)*5/9)))/1000)) *EXP([4]Calc!$C$14/((M132+273.15)+((0.0065*64.6)/2)+(0.12*0.85*((6.112*EXP((17.67*M132)/(M132+243.5)))))))</f>
        <v>1026.96626918641</v>
      </c>
      <c r="F132" s="93">
        <v>3</v>
      </c>
      <c r="G132" s="94">
        <v>3</v>
      </c>
      <c r="H132" s="32">
        <f t="shared" si="16"/>
        <v>2.0999999999999996</v>
      </c>
      <c r="I132" s="84">
        <v>8</v>
      </c>
      <c r="J132" s="95">
        <v>2</v>
      </c>
      <c r="K132" s="84">
        <v>0</v>
      </c>
      <c r="L132" s="84">
        <v>0</v>
      </c>
      <c r="M132" s="96">
        <v>18.399999999999999</v>
      </c>
      <c r="N132" s="96">
        <v>14.3</v>
      </c>
      <c r="O132" s="93">
        <f t="shared" si="17"/>
        <v>61.499029699991134</v>
      </c>
      <c r="P132" s="96">
        <f t="shared" si="19"/>
        <v>10.872692158359145</v>
      </c>
      <c r="Q132" s="97">
        <v>16.100000000000001</v>
      </c>
      <c r="R132" s="96">
        <v>15.3</v>
      </c>
      <c r="S132" s="96">
        <v>12.4</v>
      </c>
      <c r="T132" s="96">
        <v>23.5</v>
      </c>
      <c r="U132" s="96">
        <v>10.1</v>
      </c>
      <c r="V132" s="96">
        <f t="shared" si="18"/>
        <v>16.8</v>
      </c>
      <c r="W132" s="96">
        <v>6.6</v>
      </c>
      <c r="X132" s="96">
        <v>10.3</v>
      </c>
      <c r="Y132" s="98">
        <v>0</v>
      </c>
      <c r="Z132" s="99">
        <v>13.75</v>
      </c>
    </row>
    <row r="133" spans="1:26">
      <c r="A133" s="78">
        <f t="shared" si="20"/>
        <v>45422</v>
      </c>
      <c r="B133" s="91">
        <v>30.128</v>
      </c>
      <c r="C133" s="92">
        <f t="shared" si="15"/>
        <v>1020.2509766400001</v>
      </c>
      <c r="D133" s="92">
        <v>76</v>
      </c>
      <c r="E133" s="92">
        <f>(C133-0.163*((D133-32)*5/9) + (0.5685 *((C133-0.163*((D133-32)*5/9)))/1000)) *EXP([4]Calc!$C$14/((M133+273.15)+((0.0065*64.6)/2)+(0.12*0.85*((6.112*EXP((17.67*M133)/(M133+243.5)))))))</f>
        <v>1024.4578251207606</v>
      </c>
      <c r="F133" s="93">
        <v>2</v>
      </c>
      <c r="G133" s="94">
        <v>0</v>
      </c>
      <c r="H133" s="32">
        <f t="shared" si="16"/>
        <v>0</v>
      </c>
      <c r="I133" s="84">
        <v>8</v>
      </c>
      <c r="J133" s="95">
        <v>2</v>
      </c>
      <c r="K133" s="84">
        <v>0</v>
      </c>
      <c r="L133" s="84">
        <v>0</v>
      </c>
      <c r="M133" s="96">
        <v>20.100000000000001</v>
      </c>
      <c r="N133" s="96">
        <v>15.9</v>
      </c>
      <c r="O133" s="93">
        <f t="shared" si="17"/>
        <v>62.486670057117209</v>
      </c>
      <c r="P133" s="96">
        <f t="shared" si="19"/>
        <v>12.718929294989076</v>
      </c>
      <c r="Q133" s="97">
        <v>15.4</v>
      </c>
      <c r="R133" s="96">
        <v>16</v>
      </c>
      <c r="S133" s="96">
        <v>12.6</v>
      </c>
      <c r="T133" s="96">
        <v>23.6</v>
      </c>
      <c r="U133" s="96">
        <v>10.8</v>
      </c>
      <c r="V133" s="96">
        <f t="shared" si="18"/>
        <v>17.200000000000003</v>
      </c>
      <c r="W133" s="96">
        <v>5.8</v>
      </c>
      <c r="X133" s="96">
        <v>9.6999999999999993</v>
      </c>
      <c r="Y133" s="98">
        <v>0</v>
      </c>
      <c r="Z133" s="99">
        <v>11.85</v>
      </c>
    </row>
    <row r="134" spans="1:26">
      <c r="A134" s="78">
        <f t="shared" si="20"/>
        <v>45423</v>
      </c>
      <c r="B134" s="91">
        <v>30</v>
      </c>
      <c r="C134" s="92">
        <f>B134*33.86388</f>
        <v>1015.9164000000001</v>
      </c>
      <c r="D134" s="92">
        <v>75.599999999999994</v>
      </c>
      <c r="E134" s="92">
        <f>(C134-0.163*((D134-32)*5/9) + (0.5685 *((C134-0.163*((D134-32)*5/9)))/1000)) *EXP([4]Calc!$C$14/((M134+273.15)+((0.0065*64.6)/2)+(0.12*0.85*((6.112*EXP((17.67*M134)/(M134+243.5)))))))</f>
        <v>1020.1662076177302</v>
      </c>
      <c r="F134" s="93">
        <v>3</v>
      </c>
      <c r="G134" s="94">
        <v>4</v>
      </c>
      <c r="H134" s="32">
        <f t="shared" si="16"/>
        <v>2.8</v>
      </c>
      <c r="I134" s="84">
        <v>7</v>
      </c>
      <c r="J134" s="95">
        <v>2</v>
      </c>
      <c r="K134" s="84">
        <v>0</v>
      </c>
      <c r="L134" s="84">
        <v>0</v>
      </c>
      <c r="M134" s="96">
        <v>18.7</v>
      </c>
      <c r="N134" s="96">
        <v>15</v>
      </c>
      <c r="O134" s="93">
        <f t="shared" si="17"/>
        <v>65.33247393152017</v>
      </c>
      <c r="P134" s="96">
        <f t="shared" si="19"/>
        <v>12.070331044609361</v>
      </c>
      <c r="Q134" s="97">
        <v>16.3</v>
      </c>
      <c r="R134" s="96">
        <v>16.5</v>
      </c>
      <c r="S134" s="96">
        <v>13</v>
      </c>
      <c r="T134" s="96">
        <v>23.2</v>
      </c>
      <c r="U134" s="96">
        <v>10.1</v>
      </c>
      <c r="V134" s="96">
        <f t="shared" si="18"/>
        <v>16.649999999999999</v>
      </c>
      <c r="W134" s="96">
        <v>6.7</v>
      </c>
      <c r="X134" s="96">
        <v>9.5</v>
      </c>
      <c r="Y134" s="98">
        <v>0</v>
      </c>
      <c r="Z134" s="99">
        <v>11</v>
      </c>
    </row>
    <row r="135" spans="1:26">
      <c r="A135" s="78">
        <f t="shared" si="20"/>
        <v>45424</v>
      </c>
      <c r="B135" s="84">
        <v>29.77</v>
      </c>
      <c r="C135" s="92">
        <f>B135*33.86388</f>
        <v>1008.1277076</v>
      </c>
      <c r="D135" s="92">
        <v>75.2</v>
      </c>
      <c r="E135" s="92">
        <f>(C135-0.163*((D135-32)*5/9) + (0.5685 *((C135-0.163*((D135-32)*5/9)))/1000)) *EXP([4]Calc!$C$14/((M135+273.15)+((0.0065*64.6)/2)+(0.12*0.85*((6.112*EXP((17.67*M135)/(M135+243.5)))))))</f>
        <v>1012.2864238059856</v>
      </c>
      <c r="F135" s="93">
        <v>5</v>
      </c>
      <c r="G135" s="94">
        <v>0</v>
      </c>
      <c r="H135" s="32">
        <f t="shared" si="16"/>
        <v>0</v>
      </c>
      <c r="I135" s="84">
        <v>8</v>
      </c>
      <c r="J135" s="95">
        <v>2</v>
      </c>
      <c r="K135" s="84">
        <v>0</v>
      </c>
      <c r="L135" s="84">
        <v>0</v>
      </c>
      <c r="M135" s="96">
        <v>20.9</v>
      </c>
      <c r="N135" s="96">
        <v>16.5</v>
      </c>
      <c r="O135" s="93">
        <f t="shared" si="17"/>
        <v>61.679316367884837</v>
      </c>
      <c r="P135" s="96">
        <f t="shared" si="19"/>
        <v>13.275253866455616</v>
      </c>
      <c r="Q135" s="97">
        <v>17.2</v>
      </c>
      <c r="R135" s="96">
        <v>16.7</v>
      </c>
      <c r="S135" s="96">
        <v>13.5</v>
      </c>
      <c r="T135" s="96">
        <v>26</v>
      </c>
      <c r="U135" s="96">
        <v>11.1</v>
      </c>
      <c r="V135" s="96">
        <f t="shared" si="18"/>
        <v>18.55</v>
      </c>
      <c r="W135" s="96">
        <v>10</v>
      </c>
      <c r="X135" s="96">
        <v>10.6</v>
      </c>
      <c r="Y135" s="98" t="s">
        <v>61</v>
      </c>
      <c r="Z135" s="99">
        <v>12.1</v>
      </c>
    </row>
    <row r="136" spans="1:26">
      <c r="A136" s="78">
        <f t="shared" si="20"/>
        <v>45425</v>
      </c>
      <c r="B136" s="91">
        <v>29.628</v>
      </c>
      <c r="C136" s="92">
        <f t="shared" si="15"/>
        <v>1003.31903664</v>
      </c>
      <c r="D136" s="92">
        <v>76.099999999999994</v>
      </c>
      <c r="E136" s="92">
        <f>(C136-0.163*((D136-32)*5/9) + (0.5685 *((C136-0.163*((D136-32)*5/9)))/1000)) *EXP([4]Calc!$C$14/((M136+273.15)+((0.0065*64.6)/2)+(0.12*0.85*((6.112*EXP((17.67*M136)/(M136+243.5)))))))</f>
        <v>1007.5236327837999</v>
      </c>
      <c r="F136" s="93">
        <v>8</v>
      </c>
      <c r="G136" s="94">
        <v>15</v>
      </c>
      <c r="H136" s="32">
        <f t="shared" si="16"/>
        <v>10.5</v>
      </c>
      <c r="I136" s="84">
        <v>8</v>
      </c>
      <c r="J136" s="95">
        <v>2</v>
      </c>
      <c r="K136" s="84">
        <v>0</v>
      </c>
      <c r="L136" s="84">
        <v>0</v>
      </c>
      <c r="M136" s="96">
        <v>15.2</v>
      </c>
      <c r="N136" s="96">
        <v>12.4</v>
      </c>
      <c r="O136" s="93">
        <f t="shared" si="17"/>
        <v>70.384599347255886</v>
      </c>
      <c r="P136" s="96">
        <f t="shared" si="19"/>
        <v>9.8502746011646138</v>
      </c>
      <c r="Q136" s="97">
        <v>17.3</v>
      </c>
      <c r="R136" s="96">
        <v>17.2</v>
      </c>
      <c r="S136" s="96">
        <v>13.5</v>
      </c>
      <c r="T136" s="96">
        <v>18</v>
      </c>
      <c r="U136" s="96">
        <v>10.4</v>
      </c>
      <c r="V136" s="96">
        <f t="shared" si="18"/>
        <v>14.2</v>
      </c>
      <c r="W136" s="96">
        <v>8.5</v>
      </c>
      <c r="X136" s="96">
        <v>13.4</v>
      </c>
      <c r="Y136" s="98">
        <v>6.1</v>
      </c>
      <c r="Z136" s="99">
        <v>2.2000000000000002</v>
      </c>
    </row>
    <row r="137" spans="1:26">
      <c r="A137" s="78">
        <f t="shared" si="20"/>
        <v>45426</v>
      </c>
      <c r="B137" s="91">
        <v>29.419</v>
      </c>
      <c r="C137" s="92">
        <f t="shared" si="15"/>
        <v>996.24148572000001</v>
      </c>
      <c r="D137" s="92">
        <v>74.2</v>
      </c>
      <c r="E137" s="92">
        <f>(C137-0.163*((D137-32)*5/9) + (0.5685 *((C137-0.163*((D137-32)*5/9)))/1000)) *EXP([4]Calc!$C$14/((M137+273.15)+((0.0065*64.6)/2)+(0.12*0.85*((6.112*EXP((17.67*M137)/(M137+243.5)))))))</f>
        <v>1000.5994515274348</v>
      </c>
      <c r="F137" s="93">
        <v>8</v>
      </c>
      <c r="G137" s="94">
        <v>10</v>
      </c>
      <c r="H137" s="32">
        <f t="shared" si="16"/>
        <v>7</v>
      </c>
      <c r="I137" s="84">
        <v>8</v>
      </c>
      <c r="J137" s="95">
        <v>2</v>
      </c>
      <c r="K137" s="84">
        <v>2</v>
      </c>
      <c r="L137" s="84">
        <v>0</v>
      </c>
      <c r="M137" s="96">
        <v>13.9</v>
      </c>
      <c r="N137" s="96">
        <v>12.5</v>
      </c>
      <c r="O137" s="93">
        <f t="shared" si="17"/>
        <v>84.206812932705873</v>
      </c>
      <c r="P137" s="96">
        <f t="shared" si="19"/>
        <v>11.280007867415465</v>
      </c>
      <c r="Q137" s="97">
        <v>16</v>
      </c>
      <c r="R137" s="96">
        <v>16.600000000000001</v>
      </c>
      <c r="S137" s="96">
        <v>13.4</v>
      </c>
      <c r="T137" s="96">
        <v>17.899999999999999</v>
      </c>
      <c r="U137" s="96">
        <v>11.5</v>
      </c>
      <c r="V137" s="96">
        <f t="shared" si="18"/>
        <v>14.7</v>
      </c>
      <c r="W137" s="96">
        <v>13.2</v>
      </c>
      <c r="X137" s="96">
        <v>13.4</v>
      </c>
      <c r="Y137" s="98">
        <v>0.2</v>
      </c>
      <c r="Z137" s="99">
        <f>1.5+AB137</f>
        <v>1.5</v>
      </c>
    </row>
    <row r="138" spans="1:26">
      <c r="A138" s="78">
        <f t="shared" si="20"/>
        <v>45427</v>
      </c>
      <c r="B138" s="91">
        <v>29.47</v>
      </c>
      <c r="C138" s="92">
        <f t="shared" si="15"/>
        <v>997.96854359999998</v>
      </c>
      <c r="D138" s="92">
        <v>73.2</v>
      </c>
      <c r="E138" s="92">
        <f>(C138-0.163*((D138-32)*5/9) + (0.5685 *((C138-0.163*((D138-32)*5/9)))/1000)) *EXP([4]Calc!$C$14/((M138+273.15)+((0.0065*64.6)/2)+(0.12*0.85*((6.112*EXP((17.67*M138)/(M138+243.5)))))))</f>
        <v>1002.3677378965132</v>
      </c>
      <c r="F138" s="93">
        <v>6</v>
      </c>
      <c r="G138" s="94">
        <v>10</v>
      </c>
      <c r="H138" s="32">
        <f t="shared" si="16"/>
        <v>7</v>
      </c>
      <c r="I138" s="84">
        <v>8</v>
      </c>
      <c r="J138" s="95">
        <v>2</v>
      </c>
      <c r="K138" s="84">
        <v>0</v>
      </c>
      <c r="L138" s="84">
        <v>0</v>
      </c>
      <c r="M138" s="96">
        <v>16.100000000000001</v>
      </c>
      <c r="N138" s="96">
        <v>12.8</v>
      </c>
      <c r="O138" s="93">
        <f t="shared" si="17"/>
        <v>66.345734109074513</v>
      </c>
      <c r="P138" s="96">
        <f t="shared" si="19"/>
        <v>9.82887351598783</v>
      </c>
      <c r="Q138" s="97">
        <v>16</v>
      </c>
      <c r="R138" s="96">
        <v>16.3</v>
      </c>
      <c r="S138" s="96">
        <v>14</v>
      </c>
      <c r="T138" s="96">
        <v>20</v>
      </c>
      <c r="U138" s="96">
        <v>13.3</v>
      </c>
      <c r="V138" s="96">
        <f t="shared" si="18"/>
        <v>16.649999999999999</v>
      </c>
      <c r="W138" s="96">
        <v>11.5</v>
      </c>
      <c r="X138" s="96">
        <v>12.8</v>
      </c>
      <c r="Y138" s="98">
        <v>0</v>
      </c>
      <c r="Z138" s="99">
        <v>11.2</v>
      </c>
    </row>
    <row r="139" spans="1:26">
      <c r="A139" s="78">
        <f t="shared" si="20"/>
        <v>45428</v>
      </c>
      <c r="B139" s="91">
        <v>29.56</v>
      </c>
      <c r="C139" s="92">
        <f t="shared" si="15"/>
        <v>1001.0162928</v>
      </c>
      <c r="D139" s="92">
        <v>75.599999999999994</v>
      </c>
      <c r="E139" s="92">
        <f>(C139-0.163*((D139-32)*5/9) + (0.5685 *((C139-0.163*((D139-32)*5/9)))/1000)) *EXP([4]Calc!$C$14/((M139+273.15)+((0.0065*64.6)/2)+(0.12*0.85*((6.112*EXP((17.67*M139)/(M139+243.5)))))))</f>
        <v>1005.2535086629782</v>
      </c>
      <c r="F139" s="93">
        <v>8</v>
      </c>
      <c r="G139" s="94">
        <v>0</v>
      </c>
      <c r="H139" s="32">
        <f t="shared" si="16"/>
        <v>0</v>
      </c>
      <c r="I139" s="84">
        <v>8</v>
      </c>
      <c r="J139" s="95">
        <v>3</v>
      </c>
      <c r="K139" s="84">
        <v>1</v>
      </c>
      <c r="L139" s="84">
        <v>0</v>
      </c>
      <c r="M139" s="96">
        <v>15</v>
      </c>
      <c r="N139" s="96">
        <v>13.1</v>
      </c>
      <c r="O139" s="93">
        <f t="shared" si="17"/>
        <v>79.48471011894452</v>
      </c>
      <c r="P139" s="96">
        <f t="shared" si="19"/>
        <v>11.482630987511762</v>
      </c>
      <c r="Q139" s="97">
        <v>15.2</v>
      </c>
      <c r="R139" s="96">
        <v>16.2</v>
      </c>
      <c r="S139" s="96">
        <v>14</v>
      </c>
      <c r="T139" s="96">
        <v>18.399999999999999</v>
      </c>
      <c r="U139" s="96">
        <v>8.5</v>
      </c>
      <c r="V139" s="96">
        <f t="shared" si="18"/>
        <v>13.45</v>
      </c>
      <c r="W139" s="96">
        <v>4.4000000000000004</v>
      </c>
      <c r="X139" s="96">
        <v>7.9</v>
      </c>
      <c r="Y139" s="98">
        <v>0</v>
      </c>
      <c r="Z139" s="98">
        <v>1</v>
      </c>
    </row>
    <row r="140" spans="1:26">
      <c r="A140" s="78">
        <f t="shared" si="20"/>
        <v>45429</v>
      </c>
      <c r="B140" s="91">
        <v>29.684000000000001</v>
      </c>
      <c r="C140" s="92">
        <f t="shared" si="15"/>
        <v>1005.2154139200001</v>
      </c>
      <c r="D140" s="92">
        <v>76.2</v>
      </c>
      <c r="E140" s="92">
        <f>(C140-0.163*((D140-32)*5/9) + (0.5685 *((C140-0.163*((D140-32)*5/9)))/1000)) *EXP([4]Calc!$C$14/((M140+273.15)+((0.0065*64.6)/2)+(0.12*0.85*((6.112*EXP((17.67*M140)/(M140+243.5)))))))</f>
        <v>1009.3325396122608</v>
      </c>
      <c r="F140" s="93">
        <v>2</v>
      </c>
      <c r="G140" s="94">
        <v>5</v>
      </c>
      <c r="H140" s="32">
        <f t="shared" si="16"/>
        <v>3.5</v>
      </c>
      <c r="I140" s="84">
        <v>8</v>
      </c>
      <c r="J140" s="95">
        <v>2</v>
      </c>
      <c r="K140" s="84">
        <v>0</v>
      </c>
      <c r="L140" s="84">
        <v>0</v>
      </c>
      <c r="M140" s="96">
        <v>18.399999999999999</v>
      </c>
      <c r="N140" s="96">
        <v>14.4</v>
      </c>
      <c r="O140" s="93">
        <f t="shared" si="17"/>
        <v>62.377228279107285</v>
      </c>
      <c r="P140" s="96">
        <f t="shared" si="19"/>
        <v>11.086100594966521</v>
      </c>
      <c r="Q140" s="97">
        <v>16.399999999999999</v>
      </c>
      <c r="R140" s="96">
        <v>16.2</v>
      </c>
      <c r="S140" s="96">
        <v>14.4</v>
      </c>
      <c r="T140" s="96">
        <v>21.6</v>
      </c>
      <c r="U140" s="96">
        <v>10.6</v>
      </c>
      <c r="V140" s="96">
        <f t="shared" si="18"/>
        <v>16.100000000000001</v>
      </c>
      <c r="W140" s="96">
        <v>8.1999999999999993</v>
      </c>
      <c r="X140" s="96">
        <v>10</v>
      </c>
      <c r="Y140" s="98">
        <v>0</v>
      </c>
      <c r="Z140" s="99">
        <v>9.4</v>
      </c>
    </row>
    <row r="141" spans="1:26">
      <c r="A141" s="78">
        <f t="shared" si="20"/>
        <v>45430</v>
      </c>
      <c r="B141" s="91">
        <v>29.806000000000001</v>
      </c>
      <c r="C141" s="92">
        <f t="shared" si="15"/>
        <v>1009.3468072800001</v>
      </c>
      <c r="D141" s="92">
        <v>77.8</v>
      </c>
      <c r="E141" s="92">
        <f>(C141-0.163*((D141-32)*5/9) + (0.5685 *((C141-0.163*((D141-32)*5/9)))/1000)) *EXP([4]Calc!$C$14/((M141+273.15)+((0.0065*64.6)/2)+(0.12*0.85*((6.112*EXP((17.67*M141)/(M141+243.5)))))))</f>
        <v>1013.3984505649621</v>
      </c>
      <c r="F141" s="93">
        <v>7</v>
      </c>
      <c r="G141" s="94">
        <v>6</v>
      </c>
      <c r="H141" s="32">
        <f t="shared" si="16"/>
        <v>4.1999999999999993</v>
      </c>
      <c r="I141" s="84">
        <v>8</v>
      </c>
      <c r="J141" s="95">
        <v>3</v>
      </c>
      <c r="K141" s="84">
        <v>0</v>
      </c>
      <c r="L141" s="84">
        <v>0</v>
      </c>
      <c r="M141" s="96">
        <v>16.8</v>
      </c>
      <c r="N141" s="96">
        <v>14.6</v>
      </c>
      <c r="O141" s="93">
        <f t="shared" si="17"/>
        <v>77.652622515708629</v>
      </c>
      <c r="P141" s="96">
        <f t="shared" si="19"/>
        <v>12.877080690598435</v>
      </c>
      <c r="Q141" s="97">
        <v>18</v>
      </c>
      <c r="R141" s="96">
        <v>17</v>
      </c>
      <c r="S141" s="96">
        <v>14.2</v>
      </c>
      <c r="T141" s="96">
        <v>20.5</v>
      </c>
      <c r="U141" s="96">
        <v>10.7</v>
      </c>
      <c r="V141" s="96">
        <f>AVERAGE(T141:U141)</f>
        <v>15.6</v>
      </c>
      <c r="W141" s="96">
        <v>5</v>
      </c>
      <c r="X141" s="96">
        <v>11.2</v>
      </c>
      <c r="Y141" s="98"/>
      <c r="Z141" s="99">
        <v>7.2</v>
      </c>
    </row>
    <row r="142" spans="1:26">
      <c r="A142" s="78">
        <f t="shared" si="20"/>
        <v>45431</v>
      </c>
      <c r="B142" s="91">
        <v>29.856000000000002</v>
      </c>
      <c r="C142" s="92">
        <f t="shared" si="15"/>
        <v>1011.0400012800001</v>
      </c>
      <c r="D142" s="92">
        <v>75.400000000000006</v>
      </c>
      <c r="E142" s="92">
        <f>(C142-0.163*((D142-32)*5/9) + (0.5685 *((C142-0.163*((D142-32)*5/9)))/1000)) *EXP([4]Calc!$C$14/((M142+273.15)+((0.0065*64.6)/2)+(0.12*0.85*((6.112*EXP((17.67*M142)/(M142+243.5)))))))</f>
        <v>1015.4222485763286</v>
      </c>
      <c r="F142" s="93">
        <v>4</v>
      </c>
      <c r="G142" s="94">
        <v>10</v>
      </c>
      <c r="H142" s="32">
        <f t="shared" si="16"/>
        <v>7</v>
      </c>
      <c r="I142" s="84">
        <v>8</v>
      </c>
      <c r="J142" s="95">
        <v>1</v>
      </c>
      <c r="K142" s="84">
        <v>1</v>
      </c>
      <c r="L142" s="84">
        <v>0</v>
      </c>
      <c r="M142" s="96">
        <v>13.5</v>
      </c>
      <c r="N142" s="96">
        <v>11.5</v>
      </c>
      <c r="O142" s="93">
        <f t="shared" si="17"/>
        <v>77.347400166487631</v>
      </c>
      <c r="P142" s="96">
        <f t="shared" si="19"/>
        <v>9.6165292453261202</v>
      </c>
      <c r="Q142" s="97">
        <v>16.600000000000001</v>
      </c>
      <c r="R142" s="96">
        <v>17.399999999999999</v>
      </c>
      <c r="S142" s="96">
        <v>14.4</v>
      </c>
      <c r="T142" s="96">
        <v>22.1</v>
      </c>
      <c r="U142" s="96">
        <v>9.5</v>
      </c>
      <c r="V142" s="96">
        <f t="shared" si="18"/>
        <v>15.8</v>
      </c>
      <c r="W142" s="96">
        <v>6.4</v>
      </c>
      <c r="X142" s="96">
        <v>9.5</v>
      </c>
      <c r="Y142" s="98">
        <v>0</v>
      </c>
      <c r="Z142" s="99">
        <v>10.15</v>
      </c>
    </row>
    <row r="143" spans="1:26">
      <c r="A143" s="78">
        <f t="shared" si="20"/>
        <v>45432</v>
      </c>
      <c r="B143" s="91">
        <v>29.808</v>
      </c>
      <c r="C143" s="92">
        <f t="shared" si="15"/>
        <v>1009.41453504</v>
      </c>
      <c r="D143" s="92">
        <v>75</v>
      </c>
      <c r="E143" s="92">
        <f>(C143-0.163*((D143-32)*5/9) + (0.5685 *((C143-0.163*((D143-32)*5/9)))/1000)) *EXP([4]Calc!$C$14/((M143+273.15)+((0.0065*64.6)/2)+(0.12*0.85*((6.112*EXP((17.67*M143)/(M143+243.5)))))))</f>
        <v>1013.8139574015956</v>
      </c>
      <c r="F143" s="93">
        <v>5</v>
      </c>
      <c r="G143" s="94">
        <v>12</v>
      </c>
      <c r="H143" s="32">
        <f t="shared" si="16"/>
        <v>8.3999999999999986</v>
      </c>
      <c r="I143" s="84">
        <v>8</v>
      </c>
      <c r="J143" s="95">
        <v>2</v>
      </c>
      <c r="K143" s="84">
        <v>0</v>
      </c>
      <c r="L143" s="84">
        <v>0</v>
      </c>
      <c r="M143" s="96">
        <v>13.7</v>
      </c>
      <c r="N143" s="96">
        <v>11.4</v>
      </c>
      <c r="O143" s="93">
        <f t="shared" si="17"/>
        <v>74.243857499864276</v>
      </c>
      <c r="P143" s="96">
        <f t="shared" si="19"/>
        <v>9.2012728951051912</v>
      </c>
      <c r="Q143" s="97">
        <v>17.5</v>
      </c>
      <c r="R143" s="96">
        <v>17.7</v>
      </c>
      <c r="S143" s="96">
        <v>14.7</v>
      </c>
      <c r="T143" s="96">
        <v>20.2</v>
      </c>
      <c r="U143" s="96">
        <v>9.6</v>
      </c>
      <c r="V143" s="96">
        <f t="shared" si="18"/>
        <v>14.899999999999999</v>
      </c>
      <c r="W143" s="96">
        <v>8.8000000000000007</v>
      </c>
      <c r="X143" s="96">
        <v>11</v>
      </c>
      <c r="Y143" s="98">
        <v>0</v>
      </c>
      <c r="Z143" s="99">
        <v>11.3</v>
      </c>
    </row>
    <row r="144" spans="1:26">
      <c r="A144" s="78">
        <f t="shared" si="20"/>
        <v>45433</v>
      </c>
      <c r="B144" s="91">
        <v>29.718</v>
      </c>
      <c r="C144" s="92">
        <f t="shared" si="15"/>
        <v>1006.36678584</v>
      </c>
      <c r="D144" s="92">
        <v>74.099999999999994</v>
      </c>
      <c r="E144" s="92">
        <f>(C144-0.163*((D144-32)*5/9) + (0.5685 *((C144-0.163*((D144-32)*5/9)))/1000)) *EXP([4]Calc!$C$14/((M144+273.15)+((0.0065*64.6)/2)+(0.12*0.85*((6.112*EXP((17.67*M144)/(M144+243.5)))))))</f>
        <v>1010.8617255909985</v>
      </c>
      <c r="F144" s="93">
        <v>8</v>
      </c>
      <c r="G144" s="94">
        <v>5</v>
      </c>
      <c r="H144" s="32">
        <f t="shared" si="16"/>
        <v>3.5</v>
      </c>
      <c r="I144" s="84">
        <v>8</v>
      </c>
      <c r="J144" s="95">
        <v>2</v>
      </c>
      <c r="K144" s="84">
        <v>0</v>
      </c>
      <c r="L144" s="84">
        <v>0</v>
      </c>
      <c r="M144" s="96">
        <v>12.4</v>
      </c>
      <c r="N144" s="96">
        <v>10.199999999999999</v>
      </c>
      <c r="O144" s="93">
        <f t="shared" si="17"/>
        <v>74.201386471451897</v>
      </c>
      <c r="P144" s="96">
        <f t="shared" si="19"/>
        <v>7.9378331625366441</v>
      </c>
      <c r="Q144" s="97">
        <v>17.3</v>
      </c>
      <c r="R144" s="96">
        <v>17.600000000000001</v>
      </c>
      <c r="S144" s="96">
        <v>14.6</v>
      </c>
      <c r="T144" s="96">
        <v>14.5</v>
      </c>
      <c r="U144" s="96">
        <v>9.4</v>
      </c>
      <c r="V144" s="96">
        <f t="shared" si="18"/>
        <v>11.95</v>
      </c>
      <c r="W144" s="96">
        <v>7.5</v>
      </c>
      <c r="X144" s="96">
        <v>10.9</v>
      </c>
      <c r="Y144" s="98">
        <v>18.8</v>
      </c>
      <c r="Z144" s="99">
        <v>0</v>
      </c>
    </row>
    <row r="145" spans="1:26">
      <c r="A145" s="78">
        <f t="shared" si="20"/>
        <v>45434</v>
      </c>
      <c r="B145" s="91">
        <v>29.564</v>
      </c>
      <c r="C145" s="92">
        <f t="shared" si="15"/>
        <v>1001.15174832</v>
      </c>
      <c r="D145" s="92">
        <v>77.8</v>
      </c>
      <c r="E145" s="92">
        <f>(C145-0.163*((D145-32)*5/9) + (0.5685 *((C145-0.163*((D145-32)*5/9)))/1000)) *EXP([4]Calc!$C$14/((M145+273.15)+((0.0065*64.6)/2)+(0.12*0.85*((6.112*EXP((17.67*M145)/(M145+243.5)))))))</f>
        <v>1005.245021984858</v>
      </c>
      <c r="F145" s="93">
        <v>8</v>
      </c>
      <c r="G145" s="94">
        <v>4</v>
      </c>
      <c r="H145" s="32">
        <f t="shared" si="16"/>
        <v>2.8</v>
      </c>
      <c r="I145" s="84">
        <v>6</v>
      </c>
      <c r="J145" s="95">
        <v>62</v>
      </c>
      <c r="K145" s="84">
        <v>2</v>
      </c>
      <c r="L145" s="84">
        <v>0</v>
      </c>
      <c r="M145" s="96">
        <v>13.1</v>
      </c>
      <c r="N145" s="96">
        <v>12.8</v>
      </c>
      <c r="O145" s="93">
        <f t="shared" si="17"/>
        <v>96.463306060471879</v>
      </c>
      <c r="P145" s="96">
        <f t="shared" si="19"/>
        <v>12.550156458494117</v>
      </c>
      <c r="Q145" s="97">
        <v>15.5</v>
      </c>
      <c r="R145" s="96">
        <v>16.7</v>
      </c>
      <c r="S145" s="96">
        <v>15</v>
      </c>
      <c r="T145" s="96">
        <v>16.100000000000001</v>
      </c>
      <c r="U145" s="96">
        <v>12.4</v>
      </c>
      <c r="V145" s="96">
        <f t="shared" si="18"/>
        <v>14.25</v>
      </c>
      <c r="W145" s="96">
        <v>12.3</v>
      </c>
      <c r="X145" s="96">
        <v>13.2</v>
      </c>
      <c r="Y145" s="98">
        <v>8</v>
      </c>
      <c r="Z145" s="99">
        <v>0.4</v>
      </c>
    </row>
    <row r="146" spans="1:26">
      <c r="A146" s="78">
        <f t="shared" si="20"/>
        <v>45435</v>
      </c>
      <c r="B146" s="91">
        <v>29.79</v>
      </c>
      <c r="C146" s="92">
        <f>B146*33.86388</f>
        <v>1008.8049852</v>
      </c>
      <c r="D146" s="92">
        <v>75.2</v>
      </c>
      <c r="E146" s="92">
        <f>(C146-0.163*((D146-32)*5/9) + (0.5685 *((C146-0.163*((D146-32)*5/9)))/1000)) *EXP([4]Calc!$C$14/((M146+273.15)+((0.0065*64.6)/2)+(0.12*0.85*((6.112*EXP((17.67*M146)/(M146+243.5)))))))</f>
        <v>1013.1840824754129</v>
      </c>
      <c r="F146" s="93">
        <v>6</v>
      </c>
      <c r="G146" s="94">
        <v>13</v>
      </c>
      <c r="H146" s="32">
        <f t="shared" si="16"/>
        <v>9.1</v>
      </c>
      <c r="I146" s="84">
        <v>8</v>
      </c>
      <c r="J146" s="95">
        <v>2</v>
      </c>
      <c r="K146" s="84">
        <v>1</v>
      </c>
      <c r="L146" s="84">
        <v>0</v>
      </c>
      <c r="M146" s="96">
        <v>13.6</v>
      </c>
      <c r="N146" s="96">
        <v>10.8</v>
      </c>
      <c r="O146" s="93">
        <f t="shared" si="17"/>
        <v>68.77921189216319</v>
      </c>
      <c r="P146" s="96">
        <f t="shared" si="19"/>
        <v>7.9759843975013647</v>
      </c>
      <c r="Q146" s="97">
        <v>14.6</v>
      </c>
      <c r="R146" s="96">
        <v>16.2</v>
      </c>
      <c r="S146" s="96">
        <v>15</v>
      </c>
      <c r="T146" s="96">
        <v>17.100000000000001</v>
      </c>
      <c r="U146" s="96">
        <v>12.1</v>
      </c>
      <c r="V146" s="96">
        <f t="shared" si="18"/>
        <v>14.600000000000001</v>
      </c>
      <c r="W146" s="96">
        <v>12</v>
      </c>
      <c r="X146" s="96">
        <v>11.5</v>
      </c>
      <c r="Y146" s="98" t="s">
        <v>22</v>
      </c>
      <c r="Z146" s="99">
        <v>4.7</v>
      </c>
    </row>
    <row r="147" spans="1:26">
      <c r="A147" s="78">
        <f t="shared" si="20"/>
        <v>45436</v>
      </c>
      <c r="B147" s="91">
        <v>29.975999999999999</v>
      </c>
      <c r="C147" s="92">
        <f>B147*33.86388</f>
        <v>1015.10366688</v>
      </c>
      <c r="D147" s="92">
        <v>75</v>
      </c>
      <c r="E147" s="92">
        <f>(C147-0.163*((D147-32)*5/9) + (0.5685 *((C147-0.163*((D147-32)*5/9)))/1000)) *EXP([4]Calc!$C$14/((M147+273.15)+((0.0065*64.6)/2)+(0.12*0.85*((6.112*EXP((17.67*M147)/(M147+243.5)))))))</f>
        <v>1019.5470311630507</v>
      </c>
      <c r="F147" s="93">
        <v>8</v>
      </c>
      <c r="G147" s="94">
        <v>8</v>
      </c>
      <c r="H147" s="32">
        <f t="shared" si="16"/>
        <v>5.6</v>
      </c>
      <c r="I147" s="84">
        <v>8</v>
      </c>
      <c r="J147" s="95">
        <v>2</v>
      </c>
      <c r="K147" s="84">
        <v>0</v>
      </c>
      <c r="L147" s="84">
        <v>0</v>
      </c>
      <c r="M147" s="96">
        <v>13.8</v>
      </c>
      <c r="N147" s="96">
        <v>10.8</v>
      </c>
      <c r="O147" s="93">
        <f t="shared" si="17"/>
        <v>66.875567796347212</v>
      </c>
      <c r="P147" s="96">
        <f t="shared" si="19"/>
        <v>7.7548355034135765</v>
      </c>
      <c r="Q147" s="97">
        <v>14.5</v>
      </c>
      <c r="R147" s="96">
        <v>16.399999999999999</v>
      </c>
      <c r="S147" s="96">
        <v>15</v>
      </c>
      <c r="T147" s="96">
        <v>16.899999999999999</v>
      </c>
      <c r="U147" s="96">
        <v>9.1</v>
      </c>
      <c r="V147" s="96">
        <f t="shared" si="18"/>
        <v>13</v>
      </c>
      <c r="W147" s="96">
        <v>6.5</v>
      </c>
      <c r="X147" s="96">
        <v>9.5</v>
      </c>
      <c r="Y147" s="98">
        <v>0</v>
      </c>
      <c r="Z147" s="99">
        <v>2.8</v>
      </c>
    </row>
    <row r="148" spans="1:26">
      <c r="A148" s="78">
        <f t="shared" si="20"/>
        <v>45437</v>
      </c>
      <c r="B148" s="91">
        <v>29.95</v>
      </c>
      <c r="C148" s="92">
        <f t="shared" si="15"/>
        <v>1014.223206</v>
      </c>
      <c r="D148" s="92">
        <v>76.2</v>
      </c>
      <c r="E148" s="92">
        <f>(C148-0.163*((D148-32)*5/9) + (0.5685 *((C148-0.163*((D148-32)*5/9)))/1000)) *EXP([4]Calc!$C$14/((M148+273.15)+((0.0065*64.6)/2)+(0.12*0.85*((6.112*EXP((17.67*M148)/(M148+243.5)))))))</f>
        <v>1018.4755031815237</v>
      </c>
      <c r="F148" s="93">
        <v>5</v>
      </c>
      <c r="G148" s="94">
        <v>10</v>
      </c>
      <c r="H148" s="32">
        <f t="shared" si="16"/>
        <v>7</v>
      </c>
      <c r="I148" s="84">
        <v>8</v>
      </c>
      <c r="J148" s="95">
        <v>2</v>
      </c>
      <c r="K148" s="84">
        <v>0</v>
      </c>
      <c r="L148" s="84">
        <v>0</v>
      </c>
      <c r="M148" s="96">
        <v>16.3</v>
      </c>
      <c r="N148" s="96">
        <v>12.1</v>
      </c>
      <c r="O148" s="93">
        <f t="shared" si="17"/>
        <v>58.033094173498569</v>
      </c>
      <c r="P148" s="96">
        <f t="shared" si="19"/>
        <v>8.0353092196071358</v>
      </c>
      <c r="Q148" s="97">
        <v>15.7</v>
      </c>
      <c r="R148" s="96">
        <v>16.399999999999999</v>
      </c>
      <c r="S148" s="96">
        <v>14.9</v>
      </c>
      <c r="T148" s="96">
        <v>20.399999999999999</v>
      </c>
      <c r="U148" s="96">
        <v>9.3000000000000007</v>
      </c>
      <c r="V148" s="96">
        <f t="shared" si="18"/>
        <v>14.85</v>
      </c>
      <c r="W148" s="96">
        <v>7.3</v>
      </c>
      <c r="X148" s="96">
        <v>9.1999999999999993</v>
      </c>
      <c r="Y148" s="98">
        <v>4.0999999999999996</v>
      </c>
      <c r="Z148" s="99">
        <v>12.6</v>
      </c>
    </row>
    <row r="149" spans="1:26">
      <c r="A149" s="78">
        <f t="shared" si="20"/>
        <v>45438</v>
      </c>
      <c r="B149" s="91">
        <v>29.74</v>
      </c>
      <c r="C149" s="92">
        <f t="shared" si="15"/>
        <v>1007.1117912</v>
      </c>
      <c r="D149" s="92">
        <v>79.599999999999994</v>
      </c>
      <c r="E149" s="92">
        <f>(C149-0.163*((D149-32)*5/9) + (0.5685 *((C149-0.163*((D149-32)*5/9)))/1000)) *EXP([4]Calc!$C$14/((M149+273.15)+((0.0065*64.6)/2)+(0.12*0.85*((6.112*EXP((17.67*M149)/(M149+243.5)))))))</f>
        <v>1010.9955738666029</v>
      </c>
      <c r="F149" s="93">
        <v>4</v>
      </c>
      <c r="G149" s="94">
        <v>11</v>
      </c>
      <c r="H149" s="32">
        <f t="shared" si="16"/>
        <v>7.6999999999999993</v>
      </c>
      <c r="I149" s="84">
        <v>8</v>
      </c>
      <c r="J149" s="95">
        <v>1</v>
      </c>
      <c r="K149" s="84">
        <v>1</v>
      </c>
      <c r="L149" s="84">
        <v>0</v>
      </c>
      <c r="M149" s="96">
        <v>16.3</v>
      </c>
      <c r="N149" s="96">
        <v>14.4</v>
      </c>
      <c r="O149" s="93">
        <f t="shared" si="17"/>
        <v>80.306764173572091</v>
      </c>
      <c r="P149" s="96">
        <f t="shared" si="19"/>
        <v>12.904526896792321</v>
      </c>
      <c r="Q149" s="97">
        <v>16.2</v>
      </c>
      <c r="R149" s="96">
        <v>17.3</v>
      </c>
      <c r="S149" s="96">
        <v>15</v>
      </c>
      <c r="T149" s="96">
        <v>19.399999999999999</v>
      </c>
      <c r="U149" s="96">
        <v>11.7</v>
      </c>
      <c r="V149" s="96">
        <f t="shared" si="18"/>
        <v>15.549999999999999</v>
      </c>
      <c r="W149" s="96">
        <v>8.5</v>
      </c>
      <c r="X149" s="96">
        <v>12.7</v>
      </c>
      <c r="Y149" s="98">
        <v>5.7</v>
      </c>
      <c r="Z149" s="99">
        <v>5.7</v>
      </c>
    </row>
    <row r="150" spans="1:26">
      <c r="A150" s="78">
        <f t="shared" si="20"/>
        <v>45439</v>
      </c>
      <c r="B150" s="91">
        <v>29.838000000000001</v>
      </c>
      <c r="C150" s="92">
        <f t="shared" si="15"/>
        <v>1010.4304514400001</v>
      </c>
      <c r="D150" s="92">
        <v>79.599999999999994</v>
      </c>
      <c r="E150" s="92">
        <f>(C150-0.163*((D150-32)*5/9) + (0.5685 *((C150-0.163*((D150-32)*5/9)))/1000)) *EXP([4]Calc!$C$14/((M150+273.15)+((0.0065*64.6)/2)+(0.12*0.85*((6.112*EXP((17.67*M150)/(M150+243.5)))))))</f>
        <v>1014.3945538799462</v>
      </c>
      <c r="F150" s="93">
        <v>7</v>
      </c>
      <c r="G150" s="94">
        <v>10</v>
      </c>
      <c r="H150" s="32">
        <f t="shared" si="16"/>
        <v>7</v>
      </c>
      <c r="I150" s="84">
        <v>8</v>
      </c>
      <c r="J150" s="95">
        <v>2</v>
      </c>
      <c r="K150" s="84">
        <v>1</v>
      </c>
      <c r="L150" s="84">
        <v>0</v>
      </c>
      <c r="M150" s="96">
        <v>14.5</v>
      </c>
      <c r="N150" s="96">
        <v>10.6</v>
      </c>
      <c r="O150" s="93">
        <f t="shared" si="17"/>
        <v>58.507564599506857</v>
      </c>
      <c r="P150" s="96">
        <f t="shared" si="19"/>
        <v>6.4658289583176565</v>
      </c>
      <c r="Q150" s="97">
        <v>16</v>
      </c>
      <c r="R150" s="96">
        <v>17</v>
      </c>
      <c r="S150" s="96">
        <v>15</v>
      </c>
      <c r="T150" s="96">
        <v>17.399999999999999</v>
      </c>
      <c r="U150" s="96">
        <v>9.5</v>
      </c>
      <c r="V150" s="96">
        <f t="shared" si="18"/>
        <v>13.45</v>
      </c>
      <c r="W150" s="96">
        <v>8.4</v>
      </c>
      <c r="X150" s="96">
        <v>9.3000000000000007</v>
      </c>
      <c r="Y150" s="98">
        <v>1.3</v>
      </c>
      <c r="Z150" s="99">
        <v>11.1</v>
      </c>
    </row>
    <row r="151" spans="1:26">
      <c r="A151" s="78">
        <f t="shared" si="20"/>
        <v>45440</v>
      </c>
      <c r="B151" s="91">
        <v>29.744</v>
      </c>
      <c r="C151" s="92">
        <f t="shared" si="15"/>
        <v>1007.24724672</v>
      </c>
      <c r="D151" s="92">
        <v>77.8</v>
      </c>
      <c r="E151" s="92">
        <f>(C151-0.163*((D151-32)*5/9) + (0.5685 *((C151-0.163*((D151-32)*5/9)))/1000)) *EXP([4]Calc!$C$14/((M151+273.15)+((0.0065*64.6)/2)+(0.12*0.85*((6.112*EXP((17.67*M151)/(M151+243.5)))))))</f>
        <v>1011.3377071941082</v>
      </c>
      <c r="F151" s="93">
        <v>8</v>
      </c>
      <c r="G151" s="94">
        <v>12</v>
      </c>
      <c r="H151" s="32">
        <f t="shared" si="16"/>
        <v>8.3999999999999986</v>
      </c>
      <c r="I151" s="84">
        <v>4</v>
      </c>
      <c r="J151" s="95">
        <v>63</v>
      </c>
      <c r="K151" s="84">
        <v>2</v>
      </c>
      <c r="L151" s="84">
        <v>0</v>
      </c>
      <c r="M151" s="96">
        <v>14.9</v>
      </c>
      <c r="N151" s="96">
        <v>14.3</v>
      </c>
      <c r="O151" s="93">
        <f t="shared" si="17"/>
        <v>93.36375488467354</v>
      </c>
      <c r="P151" s="96">
        <f t="shared" si="19"/>
        <v>13.838768442274045</v>
      </c>
      <c r="Q151" s="97">
        <v>15.2</v>
      </c>
      <c r="R151" s="96">
        <v>17.2</v>
      </c>
      <c r="S151" s="96">
        <v>15.2</v>
      </c>
      <c r="T151" s="96">
        <v>17.399999999999999</v>
      </c>
      <c r="U151" s="96">
        <v>10.5</v>
      </c>
      <c r="V151" s="96">
        <f t="shared" si="18"/>
        <v>13.95</v>
      </c>
      <c r="W151" s="96">
        <v>10</v>
      </c>
      <c r="X151" s="96">
        <v>11</v>
      </c>
      <c r="Y151" s="98">
        <v>6.2</v>
      </c>
      <c r="Z151" s="99">
        <v>0</v>
      </c>
    </row>
    <row r="152" spans="1:26">
      <c r="A152" s="78">
        <f t="shared" si="20"/>
        <v>45441</v>
      </c>
      <c r="B152" s="91">
        <v>29.702000000000002</v>
      </c>
      <c r="C152" s="92">
        <f t="shared" si="15"/>
        <v>1005.8249637600001</v>
      </c>
      <c r="D152" s="92">
        <v>78</v>
      </c>
      <c r="E152" s="92">
        <f>(C152-0.163*((D152-32)*5/9) + (0.5685 *((C152-0.163*((D152-32)*5/9)))/1000)) *EXP([4]Calc!$C$14/((M152+273.15)+((0.0065*64.6)/2)+(0.12*0.85*((6.112*EXP((17.67*M152)/(M152+243.5)))))))</f>
        <v>1009.8296216630828</v>
      </c>
      <c r="F152" s="93">
        <v>5</v>
      </c>
      <c r="G152" s="94">
        <v>10</v>
      </c>
      <c r="H152" s="32">
        <f t="shared" si="16"/>
        <v>7</v>
      </c>
      <c r="I152" s="84">
        <v>8</v>
      </c>
      <c r="J152" s="95">
        <v>2</v>
      </c>
      <c r="K152" s="84">
        <v>1</v>
      </c>
      <c r="L152" s="84">
        <v>0</v>
      </c>
      <c r="M152" s="96">
        <v>16.8</v>
      </c>
      <c r="N152" s="96">
        <v>13.4</v>
      </c>
      <c r="O152" s="93">
        <f t="shared" si="17"/>
        <v>66.124568415705298</v>
      </c>
      <c r="P152" s="96">
        <f t="shared" si="19"/>
        <v>10.445362474893937</v>
      </c>
      <c r="Q152" s="97">
        <v>16</v>
      </c>
      <c r="R152" s="96">
        <v>16.8</v>
      </c>
      <c r="S152" s="96">
        <v>15.2</v>
      </c>
      <c r="T152" s="96">
        <v>19.100000000000001</v>
      </c>
      <c r="U152" s="96">
        <v>12.1</v>
      </c>
      <c r="V152" s="96">
        <f t="shared" si="18"/>
        <v>15.600000000000001</v>
      </c>
      <c r="W152" s="96">
        <v>10.5</v>
      </c>
      <c r="X152" s="96">
        <v>11.5</v>
      </c>
      <c r="Y152" s="98" t="s">
        <v>22</v>
      </c>
      <c r="Z152" s="99">
        <v>6.5</v>
      </c>
    </row>
    <row r="153" spans="1:26">
      <c r="A153" s="78">
        <f t="shared" si="20"/>
        <v>45442</v>
      </c>
      <c r="B153" s="91">
        <v>29.712</v>
      </c>
      <c r="C153" s="92">
        <f t="shared" si="15"/>
        <v>1006.1636025600001</v>
      </c>
      <c r="D153" s="92">
        <v>75.2</v>
      </c>
      <c r="E153" s="92">
        <f>(C153-0.163*((D153-32)*5/9) + (0.5685 *((C153-0.163*((D153-32)*5/9)))/1000)) *EXP([4]Calc!$C$14/((M153+273.15)+((0.0065*64.6)/2)+(0.12*0.85*((6.112*EXP((17.67*M153)/(M153+243.5)))))))</f>
        <v>1010.509090354798</v>
      </c>
      <c r="F153" s="93">
        <v>8</v>
      </c>
      <c r="G153" s="94">
        <v>14</v>
      </c>
      <c r="H153" s="32">
        <f t="shared" si="16"/>
        <v>9.7999999999999989</v>
      </c>
      <c r="I153" s="84">
        <v>8</v>
      </c>
      <c r="J153" s="95">
        <v>2</v>
      </c>
      <c r="K153" s="84">
        <v>1</v>
      </c>
      <c r="L153" s="84">
        <v>0</v>
      </c>
      <c r="M153" s="96">
        <v>14</v>
      </c>
      <c r="N153" s="96">
        <v>12</v>
      </c>
      <c r="O153" s="93">
        <f t="shared" si="17"/>
        <v>77.723227808323188</v>
      </c>
      <c r="P153" s="96">
        <f t="shared" si="19"/>
        <v>10.173992385150765</v>
      </c>
      <c r="Q153" s="97">
        <v>15</v>
      </c>
      <c r="R153" s="96">
        <v>16.899999999999999</v>
      </c>
      <c r="S153" s="96">
        <v>15.3</v>
      </c>
      <c r="T153" s="96">
        <v>18.899999999999999</v>
      </c>
      <c r="U153" s="96">
        <v>10.199999999999999</v>
      </c>
      <c r="V153" s="96">
        <f t="shared" si="18"/>
        <v>14.549999999999999</v>
      </c>
      <c r="W153" s="96">
        <v>11.2</v>
      </c>
      <c r="X153" s="96">
        <v>12.3</v>
      </c>
      <c r="Y153" s="98">
        <v>2.8</v>
      </c>
      <c r="Z153" s="99">
        <v>2.8</v>
      </c>
    </row>
    <row r="154" spans="1:26">
      <c r="A154" s="78">
        <f t="shared" si="20"/>
        <v>45443</v>
      </c>
      <c r="B154" s="91">
        <v>29.981999999999999</v>
      </c>
      <c r="C154" s="92">
        <f t="shared" si="15"/>
        <v>1015.3068501600001</v>
      </c>
      <c r="D154" s="92">
        <v>74.8</v>
      </c>
      <c r="E154" s="92">
        <f>(C154-0.163*((D154-32)*5/9) + (0.5685 *((C154-0.163*((D154-32)*5/9)))/1000)) *EXP([4]Calc!$C$14/((M154+273.15)+((0.0065*64.6)/2)+(0.12*0.85*((6.112*EXP((17.67*M154)/(M154+243.5)))))))</f>
        <v>1019.7582310574027</v>
      </c>
      <c r="F154" s="93">
        <v>8</v>
      </c>
      <c r="G154" s="94">
        <v>14</v>
      </c>
      <c r="H154" s="32">
        <f t="shared" si="16"/>
        <v>9.7999999999999989</v>
      </c>
      <c r="I154" s="84">
        <v>8</v>
      </c>
      <c r="J154" s="95">
        <v>2</v>
      </c>
      <c r="K154" s="84">
        <v>1</v>
      </c>
      <c r="L154" s="84">
        <v>0</v>
      </c>
      <c r="M154" s="96">
        <v>14.2</v>
      </c>
      <c r="N154" s="96">
        <v>10.5</v>
      </c>
      <c r="O154" s="93">
        <f t="shared" si="17"/>
        <v>60.118812005452483</v>
      </c>
      <c r="P154" s="96">
        <f t="shared" si="19"/>
        <v>6.578459988870538</v>
      </c>
      <c r="Q154" s="97">
        <v>14.2</v>
      </c>
      <c r="R154" s="96">
        <v>16.600000000000001</v>
      </c>
      <c r="S154" s="96">
        <v>15.3</v>
      </c>
      <c r="T154" s="96">
        <v>15.4</v>
      </c>
      <c r="U154" s="96">
        <v>10.6</v>
      </c>
      <c r="V154" s="96">
        <f t="shared" si="18"/>
        <v>13</v>
      </c>
      <c r="W154" s="96">
        <v>9.8000000000000007</v>
      </c>
      <c r="X154" s="96">
        <v>10.1</v>
      </c>
      <c r="Y154" s="98" t="s">
        <v>22</v>
      </c>
      <c r="Z154" s="99">
        <v>1.2</v>
      </c>
    </row>
    <row r="155" spans="1:26">
      <c r="A155" s="78">
        <f t="shared" si="20"/>
        <v>45444</v>
      </c>
      <c r="B155" s="84">
        <v>30.1</v>
      </c>
      <c r="C155" s="84">
        <v>1019.3</v>
      </c>
      <c r="D155" s="84">
        <v>76.599999999999994</v>
      </c>
      <c r="E155" s="84">
        <v>1023.7</v>
      </c>
      <c r="F155" s="84">
        <v>8</v>
      </c>
      <c r="G155" s="84">
        <v>15</v>
      </c>
      <c r="H155" s="84">
        <v>10.5</v>
      </c>
      <c r="I155" s="84">
        <v>8</v>
      </c>
      <c r="J155" s="84">
        <v>2</v>
      </c>
      <c r="K155" s="84">
        <v>1</v>
      </c>
      <c r="L155" s="84">
        <v>0</v>
      </c>
      <c r="M155" s="84">
        <v>12.6</v>
      </c>
      <c r="N155" s="84">
        <v>10.5</v>
      </c>
      <c r="O155" s="84">
        <v>76</v>
      </c>
      <c r="P155" s="84">
        <v>8.4</v>
      </c>
      <c r="Q155" s="84">
        <v>12.6</v>
      </c>
      <c r="R155" s="84">
        <v>15.8</v>
      </c>
      <c r="S155" s="84">
        <v>15.4</v>
      </c>
      <c r="T155" s="84">
        <v>17.2</v>
      </c>
      <c r="U155" s="84">
        <v>6.5</v>
      </c>
      <c r="V155" s="84">
        <v>11.9</v>
      </c>
      <c r="W155" s="84">
        <v>3.5</v>
      </c>
      <c r="X155" s="84">
        <v>6</v>
      </c>
      <c r="Y155" s="84" t="s">
        <v>62</v>
      </c>
      <c r="Z155" s="84">
        <v>2</v>
      </c>
    </row>
    <row r="156" spans="1:26">
      <c r="A156" s="78">
        <f t="shared" si="20"/>
        <v>45445</v>
      </c>
      <c r="B156" s="84">
        <v>30.254000000000001</v>
      </c>
      <c r="C156" s="84">
        <v>1024.5</v>
      </c>
      <c r="D156" s="84">
        <v>76.900000000000006</v>
      </c>
      <c r="E156" s="84">
        <v>1028.8</v>
      </c>
      <c r="F156" s="84">
        <v>1</v>
      </c>
      <c r="G156" s="84">
        <v>7</v>
      </c>
      <c r="H156" s="84">
        <v>4.9000000000000004</v>
      </c>
      <c r="I156" s="84">
        <v>8</v>
      </c>
      <c r="J156" s="84">
        <v>2</v>
      </c>
      <c r="K156" s="84">
        <v>0</v>
      </c>
      <c r="L156" s="84">
        <v>0</v>
      </c>
      <c r="M156" s="84">
        <v>17.2</v>
      </c>
      <c r="N156" s="84">
        <v>13</v>
      </c>
      <c r="O156" s="84">
        <v>59</v>
      </c>
      <c r="P156" s="84">
        <v>9.1999999999999993</v>
      </c>
      <c r="Q156" s="84">
        <v>14.1</v>
      </c>
      <c r="R156" s="84">
        <v>15.4</v>
      </c>
      <c r="S156" s="84">
        <v>15.3</v>
      </c>
      <c r="T156" s="84">
        <v>22.8</v>
      </c>
      <c r="U156" s="84">
        <v>6.5</v>
      </c>
      <c r="V156" s="84">
        <v>14.7</v>
      </c>
      <c r="W156" s="84">
        <v>4.4000000000000004</v>
      </c>
      <c r="X156" s="84">
        <v>6.5</v>
      </c>
      <c r="Y156" s="84" t="s">
        <v>62</v>
      </c>
      <c r="Z156" s="84">
        <v>15</v>
      </c>
    </row>
    <row r="157" spans="1:26">
      <c r="A157" s="78">
        <f t="shared" si="20"/>
        <v>45446</v>
      </c>
      <c r="B157" s="84">
        <v>30.085000000000001</v>
      </c>
      <c r="C157" s="84">
        <v>1018.8</v>
      </c>
      <c r="D157" s="84">
        <v>77.8</v>
      </c>
      <c r="E157" s="84">
        <v>1022.9</v>
      </c>
      <c r="F157" s="84">
        <v>8</v>
      </c>
      <c r="G157" s="84">
        <v>8</v>
      </c>
      <c r="H157" s="84">
        <v>5.6</v>
      </c>
      <c r="I157" s="84">
        <v>8</v>
      </c>
      <c r="J157" s="84">
        <v>2</v>
      </c>
      <c r="K157" s="84">
        <v>0</v>
      </c>
      <c r="L157" s="84">
        <v>0</v>
      </c>
      <c r="M157" s="84">
        <v>17.399999999999999</v>
      </c>
      <c r="N157" s="84">
        <v>14.6</v>
      </c>
      <c r="O157" s="84">
        <v>72</v>
      </c>
      <c r="P157" s="84">
        <v>12.4</v>
      </c>
      <c r="Q157" s="84">
        <v>16.5</v>
      </c>
      <c r="R157" s="84">
        <v>16.7</v>
      </c>
      <c r="S157" s="84">
        <v>15.1</v>
      </c>
      <c r="T157" s="84">
        <v>21.1</v>
      </c>
      <c r="U157" s="84">
        <v>11.8</v>
      </c>
      <c r="V157" s="84">
        <v>16.5</v>
      </c>
      <c r="W157" s="84">
        <v>9.5</v>
      </c>
      <c r="X157" s="84">
        <v>11.6</v>
      </c>
      <c r="Y157" s="84" t="s">
        <v>61</v>
      </c>
      <c r="Z157" s="84">
        <v>2.1</v>
      </c>
    </row>
    <row r="158" spans="1:26">
      <c r="A158" s="78">
        <f t="shared" si="20"/>
        <v>45447</v>
      </c>
      <c r="B158" s="84">
        <v>29.786000000000001</v>
      </c>
      <c r="C158" s="84">
        <v>1008.7</v>
      </c>
      <c r="D158" s="84">
        <v>78.2</v>
      </c>
      <c r="E158" s="84">
        <v>1012.7</v>
      </c>
      <c r="F158" s="84">
        <v>7</v>
      </c>
      <c r="G158" s="84">
        <v>15</v>
      </c>
      <c r="H158" s="84">
        <v>10.5</v>
      </c>
      <c r="I158" s="84">
        <v>8</v>
      </c>
      <c r="J158" s="84">
        <v>2</v>
      </c>
      <c r="K158" s="84">
        <v>0</v>
      </c>
      <c r="L158" s="84">
        <v>0</v>
      </c>
      <c r="M158" s="84">
        <v>15.4</v>
      </c>
      <c r="N158" s="84">
        <v>12.6</v>
      </c>
      <c r="O158" s="84">
        <v>71</v>
      </c>
      <c r="P158" s="84">
        <v>10.1</v>
      </c>
      <c r="Q158" s="84">
        <v>16.899999999999999</v>
      </c>
      <c r="R158" s="84">
        <v>17.2</v>
      </c>
      <c r="S158" s="84">
        <v>15.2</v>
      </c>
      <c r="T158" s="84">
        <v>16.5</v>
      </c>
      <c r="U158" s="84">
        <v>13.4</v>
      </c>
      <c r="V158" s="84">
        <v>15</v>
      </c>
      <c r="W158" s="84">
        <v>10</v>
      </c>
      <c r="X158" s="84">
        <v>12.7</v>
      </c>
      <c r="Y158" s="84">
        <v>2.8</v>
      </c>
      <c r="Z158" s="84">
        <v>1</v>
      </c>
    </row>
    <row r="159" spans="1:26">
      <c r="A159" s="78">
        <f t="shared" si="20"/>
        <v>45448</v>
      </c>
      <c r="B159" s="84">
        <v>29.83</v>
      </c>
      <c r="C159" s="84">
        <v>1010.2</v>
      </c>
      <c r="D159" s="84">
        <v>76.8</v>
      </c>
      <c r="E159" s="84">
        <v>1014.4</v>
      </c>
      <c r="F159" s="84">
        <v>5</v>
      </c>
      <c r="G159" s="84">
        <v>11</v>
      </c>
      <c r="H159" s="84">
        <v>7.7</v>
      </c>
      <c r="I159" s="84">
        <v>8</v>
      </c>
      <c r="J159" s="84">
        <v>2</v>
      </c>
      <c r="K159" s="84">
        <v>1</v>
      </c>
      <c r="L159" s="84">
        <v>0</v>
      </c>
      <c r="M159" s="84">
        <v>13.1</v>
      </c>
      <c r="N159" s="84">
        <v>9.1999999999999993</v>
      </c>
      <c r="O159" s="84">
        <v>56</v>
      </c>
      <c r="P159" s="84">
        <v>4.5999999999999996</v>
      </c>
      <c r="Q159" s="84">
        <v>14.2</v>
      </c>
      <c r="R159" s="84">
        <v>16.5</v>
      </c>
      <c r="S159" s="84">
        <v>15.4</v>
      </c>
      <c r="T159" s="84">
        <v>17</v>
      </c>
      <c r="U159" s="84">
        <v>6.7</v>
      </c>
      <c r="V159" s="84">
        <v>11.9</v>
      </c>
      <c r="W159" s="84">
        <v>3</v>
      </c>
      <c r="X159" s="84">
        <v>3.6</v>
      </c>
      <c r="Y159" s="84">
        <v>0.1</v>
      </c>
      <c r="Z159" s="84">
        <v>11.1</v>
      </c>
    </row>
    <row r="160" spans="1:26">
      <c r="A160" s="78">
        <f t="shared" si="20"/>
        <v>45449</v>
      </c>
      <c r="B160" s="84">
        <v>29.911999999999999</v>
      </c>
      <c r="C160" s="84">
        <v>1012.9</v>
      </c>
      <c r="D160" s="84">
        <v>77</v>
      </c>
      <c r="E160" s="84">
        <v>1017.2</v>
      </c>
      <c r="F160" s="84">
        <v>4</v>
      </c>
      <c r="G160" s="84">
        <v>5</v>
      </c>
      <c r="H160" s="84">
        <v>3.5</v>
      </c>
      <c r="I160" s="84">
        <v>8</v>
      </c>
      <c r="J160" s="84">
        <v>1</v>
      </c>
      <c r="K160" s="84">
        <v>1</v>
      </c>
      <c r="L160" s="84">
        <v>0</v>
      </c>
      <c r="M160" s="84">
        <v>14.2</v>
      </c>
      <c r="N160" s="84">
        <v>10.9</v>
      </c>
      <c r="O160" s="84">
        <v>64</v>
      </c>
      <c r="P160" s="84">
        <v>7.5</v>
      </c>
      <c r="Q160" s="84">
        <v>14.6</v>
      </c>
      <c r="R160" s="84">
        <v>16.5</v>
      </c>
      <c r="S160" s="84">
        <v>15.3</v>
      </c>
      <c r="T160" s="84">
        <v>18.5</v>
      </c>
      <c r="U160" s="84">
        <v>6.6</v>
      </c>
      <c r="V160" s="84">
        <v>12.6</v>
      </c>
      <c r="W160" s="84">
        <v>3.2</v>
      </c>
      <c r="X160" s="84">
        <v>8.1</v>
      </c>
      <c r="Y160" s="84" t="s">
        <v>62</v>
      </c>
      <c r="Z160" s="84">
        <v>6.1</v>
      </c>
    </row>
    <row r="161" spans="1:26">
      <c r="A161" s="78">
        <f t="shared" si="20"/>
        <v>45450</v>
      </c>
      <c r="B161" s="84">
        <v>30.001999999999999</v>
      </c>
      <c r="C161" s="84">
        <v>1016</v>
      </c>
      <c r="D161" s="84">
        <v>77.7</v>
      </c>
      <c r="E161" s="84">
        <v>1020.1</v>
      </c>
      <c r="F161" s="84">
        <v>4</v>
      </c>
      <c r="G161" s="84">
        <v>7</v>
      </c>
      <c r="H161" s="84">
        <v>4.9000000000000004</v>
      </c>
      <c r="I161" s="84">
        <v>8</v>
      </c>
      <c r="J161" s="84">
        <v>3</v>
      </c>
      <c r="K161" s="84">
        <v>0</v>
      </c>
      <c r="L161" s="84">
        <v>0</v>
      </c>
      <c r="M161" s="84">
        <v>15.8</v>
      </c>
      <c r="N161" s="84">
        <v>11.5</v>
      </c>
      <c r="O161" s="84">
        <v>56</v>
      </c>
      <c r="P161" s="84">
        <v>7.2</v>
      </c>
      <c r="Q161" s="84">
        <v>15.4</v>
      </c>
      <c r="R161" s="84">
        <v>16.5</v>
      </c>
      <c r="S161" s="84">
        <v>15.3</v>
      </c>
      <c r="T161" s="84">
        <v>18.8</v>
      </c>
      <c r="U161" s="84">
        <v>7.6</v>
      </c>
      <c r="V161" s="84">
        <v>13.2</v>
      </c>
      <c r="W161" s="84">
        <v>6</v>
      </c>
      <c r="X161" s="84">
        <v>6.8</v>
      </c>
      <c r="Y161" s="84" t="s">
        <v>62</v>
      </c>
      <c r="Z161" s="84">
        <v>10.8</v>
      </c>
    </row>
    <row r="162" spans="1:26">
      <c r="A162" s="78">
        <f t="shared" si="20"/>
        <v>45451</v>
      </c>
      <c r="B162" s="84">
        <v>29.818000000000001</v>
      </c>
      <c r="C162" s="84">
        <v>1009.8</v>
      </c>
      <c r="D162" s="84">
        <v>77.400000000000006</v>
      </c>
      <c r="E162" s="84">
        <v>1013.9</v>
      </c>
      <c r="F162" s="84">
        <v>7</v>
      </c>
      <c r="G162" s="84">
        <v>6</v>
      </c>
      <c r="H162" s="84">
        <v>4.2</v>
      </c>
      <c r="I162" s="84">
        <v>8</v>
      </c>
      <c r="J162" s="84">
        <v>3</v>
      </c>
      <c r="K162" s="84">
        <v>0</v>
      </c>
      <c r="L162" s="84">
        <v>0</v>
      </c>
      <c r="M162" s="84">
        <v>14</v>
      </c>
      <c r="N162" s="84">
        <v>12.4</v>
      </c>
      <c r="O162" s="84">
        <v>82</v>
      </c>
      <c r="P162" s="84">
        <v>11</v>
      </c>
      <c r="Q162" s="84">
        <v>15.7</v>
      </c>
      <c r="R162" s="84">
        <v>16.600000000000001</v>
      </c>
      <c r="S162" s="84">
        <v>15.3</v>
      </c>
      <c r="T162" s="84">
        <v>19.100000000000001</v>
      </c>
      <c r="U162" s="84">
        <v>9.6999999999999993</v>
      </c>
      <c r="V162" s="84">
        <v>14.4</v>
      </c>
      <c r="W162" s="84">
        <v>8.3000000000000007</v>
      </c>
      <c r="X162" s="84">
        <v>9.1</v>
      </c>
      <c r="Y162" s="84" t="s">
        <v>62</v>
      </c>
      <c r="Z162" s="84">
        <v>7.5</v>
      </c>
    </row>
    <row r="163" spans="1:26">
      <c r="A163" s="78">
        <f t="shared" si="20"/>
        <v>45452</v>
      </c>
      <c r="B163" s="84">
        <v>29.771999999999998</v>
      </c>
      <c r="C163" s="84">
        <v>1008.2</v>
      </c>
      <c r="D163" s="84">
        <v>75.400000000000006</v>
      </c>
      <c r="E163" s="84">
        <v>1012.5</v>
      </c>
      <c r="F163" s="84">
        <v>6</v>
      </c>
      <c r="G163" s="84">
        <v>11</v>
      </c>
      <c r="H163" s="84">
        <v>7.7</v>
      </c>
      <c r="I163" s="84">
        <v>8</v>
      </c>
      <c r="J163" s="84">
        <v>2</v>
      </c>
      <c r="K163" s="84">
        <v>0</v>
      </c>
      <c r="L163" s="84">
        <v>0</v>
      </c>
      <c r="M163" s="84">
        <v>15</v>
      </c>
      <c r="N163" s="84">
        <v>10.4</v>
      </c>
      <c r="O163" s="84">
        <v>52</v>
      </c>
      <c r="P163" s="84">
        <v>5.3</v>
      </c>
      <c r="Q163" s="84">
        <v>15.6</v>
      </c>
      <c r="R163" s="84">
        <v>16.8</v>
      </c>
      <c r="S163" s="84">
        <v>15.5</v>
      </c>
      <c r="T163" s="84">
        <v>16.7</v>
      </c>
      <c r="U163" s="84">
        <v>6.8</v>
      </c>
      <c r="V163" s="84">
        <v>11.8</v>
      </c>
      <c r="W163" s="84">
        <v>6.5</v>
      </c>
      <c r="X163" s="84">
        <v>6.9</v>
      </c>
      <c r="Y163" s="84">
        <v>1.6</v>
      </c>
      <c r="Z163" s="84">
        <v>5</v>
      </c>
    </row>
    <row r="164" spans="1:26">
      <c r="A164" s="78">
        <f t="shared" si="20"/>
        <v>45453</v>
      </c>
      <c r="B164" s="84">
        <v>29.754000000000001</v>
      </c>
      <c r="C164" s="84">
        <v>1007.6</v>
      </c>
      <c r="D164" s="84">
        <v>74</v>
      </c>
      <c r="E164" s="84">
        <v>1012.1</v>
      </c>
      <c r="F164" s="84">
        <v>7</v>
      </c>
      <c r="G164" s="84">
        <v>15</v>
      </c>
      <c r="H164" s="84">
        <v>10.5</v>
      </c>
      <c r="I164" s="84">
        <v>8</v>
      </c>
      <c r="J164" s="84">
        <v>2</v>
      </c>
      <c r="K164" s="84">
        <v>0</v>
      </c>
      <c r="L164" s="84">
        <v>0</v>
      </c>
      <c r="M164" s="84">
        <v>12</v>
      </c>
      <c r="N164" s="84">
        <v>9.1999999999999993</v>
      </c>
      <c r="O164" s="84">
        <v>67</v>
      </c>
      <c r="P164" s="84">
        <v>6.1</v>
      </c>
      <c r="Q164" s="84">
        <v>15.4</v>
      </c>
      <c r="R164" s="84">
        <v>16.3</v>
      </c>
      <c r="S164" s="84">
        <v>15.4</v>
      </c>
      <c r="T164" s="84">
        <v>17</v>
      </c>
      <c r="U164" s="84">
        <v>9.5</v>
      </c>
      <c r="V164" s="84">
        <v>13.3</v>
      </c>
      <c r="W164" s="84">
        <v>9.1999999999999993</v>
      </c>
      <c r="X164" s="84">
        <v>10.7</v>
      </c>
      <c r="Y164" s="84" t="s">
        <v>22</v>
      </c>
      <c r="Z164" s="84">
        <v>7.2</v>
      </c>
    </row>
    <row r="165" spans="1:26">
      <c r="A165" s="78">
        <f t="shared" si="20"/>
        <v>45454</v>
      </c>
      <c r="B165" s="84">
        <v>29.99</v>
      </c>
      <c r="C165" s="84">
        <v>1015.6</v>
      </c>
      <c r="D165" s="84">
        <v>75.7</v>
      </c>
      <c r="E165" s="84">
        <v>1020</v>
      </c>
      <c r="F165" s="84">
        <v>6</v>
      </c>
      <c r="G165" s="84">
        <v>5</v>
      </c>
      <c r="H165" s="84">
        <v>3.5</v>
      </c>
      <c r="I165" s="84">
        <v>8</v>
      </c>
      <c r="J165" s="84">
        <v>3</v>
      </c>
      <c r="K165" s="84">
        <v>0</v>
      </c>
      <c r="L165" s="84">
        <v>0</v>
      </c>
      <c r="M165" s="84">
        <v>13</v>
      </c>
      <c r="N165" s="84">
        <v>9.4</v>
      </c>
      <c r="O165" s="84">
        <v>60</v>
      </c>
      <c r="P165" s="84">
        <v>5.3</v>
      </c>
      <c r="Q165" s="84">
        <v>15.6</v>
      </c>
      <c r="R165" s="84">
        <v>16.2</v>
      </c>
      <c r="S165" s="84">
        <v>15.4</v>
      </c>
      <c r="T165" s="84">
        <v>15.4</v>
      </c>
      <c r="U165" s="84">
        <v>7.2</v>
      </c>
      <c r="V165" s="84">
        <v>11.3</v>
      </c>
      <c r="W165" s="84">
        <v>5.4</v>
      </c>
      <c r="X165" s="84">
        <v>7.3</v>
      </c>
      <c r="Y165" s="84" t="s">
        <v>22</v>
      </c>
      <c r="Z165" s="84">
        <v>3.4</v>
      </c>
    </row>
    <row r="166" spans="1:26">
      <c r="A166" s="78">
        <f t="shared" si="20"/>
        <v>45455</v>
      </c>
      <c r="B166" s="84">
        <v>30.068000000000001</v>
      </c>
      <c r="C166" s="84">
        <v>1018.2</v>
      </c>
      <c r="D166" s="84">
        <v>77.400000000000006</v>
      </c>
      <c r="E166" s="84">
        <v>1022.5</v>
      </c>
      <c r="F166" s="84">
        <v>5</v>
      </c>
      <c r="G166" s="84">
        <v>5</v>
      </c>
      <c r="H166" s="84">
        <v>3.5</v>
      </c>
      <c r="I166" s="84">
        <v>8</v>
      </c>
      <c r="J166" s="84">
        <v>2</v>
      </c>
      <c r="K166" s="84">
        <v>0</v>
      </c>
      <c r="L166" s="84">
        <v>0</v>
      </c>
      <c r="M166" s="84">
        <v>13.6</v>
      </c>
      <c r="N166" s="84">
        <v>10</v>
      </c>
      <c r="O166" s="84">
        <v>60</v>
      </c>
      <c r="P166" s="84">
        <v>6.1</v>
      </c>
      <c r="Q166" s="84">
        <v>15.7</v>
      </c>
      <c r="R166" s="84">
        <v>16.100000000000001</v>
      </c>
      <c r="S166" s="84">
        <v>15.3</v>
      </c>
      <c r="T166" s="84">
        <v>18</v>
      </c>
      <c r="U166" s="84">
        <v>9.1999999999999993</v>
      </c>
      <c r="V166" s="84">
        <v>13.6</v>
      </c>
      <c r="W166" s="84">
        <v>10.4</v>
      </c>
      <c r="X166" s="84">
        <v>10.5</v>
      </c>
      <c r="Y166" s="84" t="s">
        <v>22</v>
      </c>
      <c r="Z166" s="84">
        <v>5.9</v>
      </c>
    </row>
    <row r="167" spans="1:26">
      <c r="A167" s="78">
        <f t="shared" si="20"/>
        <v>45456</v>
      </c>
      <c r="B167" s="84">
        <v>29.847999999999999</v>
      </c>
      <c r="C167" s="84">
        <v>1010.8</v>
      </c>
      <c r="D167" s="84">
        <v>75.400000000000006</v>
      </c>
      <c r="E167" s="84">
        <v>1015.1</v>
      </c>
      <c r="F167" s="84">
        <v>8</v>
      </c>
      <c r="G167" s="84">
        <v>9</v>
      </c>
      <c r="H167" s="84">
        <v>6.3</v>
      </c>
      <c r="I167" s="84">
        <v>8</v>
      </c>
      <c r="J167" s="84">
        <v>2</v>
      </c>
      <c r="K167" s="84">
        <v>0</v>
      </c>
      <c r="L167" s="84">
        <v>0</v>
      </c>
      <c r="M167" s="84">
        <v>14.8</v>
      </c>
      <c r="N167" s="84">
        <v>10.9</v>
      </c>
      <c r="O167" s="84">
        <v>59</v>
      </c>
      <c r="P167" s="84">
        <v>6.8</v>
      </c>
      <c r="Q167" s="84">
        <v>15.6</v>
      </c>
      <c r="R167" s="84">
        <v>16.2</v>
      </c>
      <c r="S167" s="84">
        <v>15.3</v>
      </c>
      <c r="T167" s="84">
        <v>16.5</v>
      </c>
      <c r="U167" s="84">
        <v>7.6</v>
      </c>
      <c r="V167" s="84">
        <v>12.1</v>
      </c>
      <c r="W167" s="84">
        <v>6.1</v>
      </c>
      <c r="X167" s="84">
        <v>6.8</v>
      </c>
      <c r="Y167" s="84">
        <v>1.7</v>
      </c>
      <c r="Z167" s="84">
        <v>0.8</v>
      </c>
    </row>
    <row r="168" spans="1:26">
      <c r="A168" s="78">
        <f t="shared" si="20"/>
        <v>45457</v>
      </c>
      <c r="B168" s="84">
        <v>29.434000000000001</v>
      </c>
      <c r="C168" s="84">
        <v>996.7</v>
      </c>
      <c r="D168" s="84">
        <v>76.8</v>
      </c>
      <c r="E168" s="84">
        <v>1000.8</v>
      </c>
      <c r="F168" s="84">
        <v>7</v>
      </c>
      <c r="G168" s="84">
        <v>14</v>
      </c>
      <c r="H168" s="84">
        <v>9.8000000000000007</v>
      </c>
      <c r="I168" s="84">
        <v>8</v>
      </c>
      <c r="J168" s="84">
        <v>60</v>
      </c>
      <c r="K168" s="84">
        <v>1</v>
      </c>
      <c r="L168" s="84">
        <v>0</v>
      </c>
      <c r="M168" s="84">
        <v>16</v>
      </c>
      <c r="N168" s="84">
        <v>12.7</v>
      </c>
      <c r="O168" s="84">
        <v>66</v>
      </c>
      <c r="P168" s="84">
        <v>9.6999999999999993</v>
      </c>
      <c r="Q168" s="84">
        <v>15.4</v>
      </c>
      <c r="R168" s="84">
        <v>16</v>
      </c>
      <c r="S168" s="84">
        <v>15.5</v>
      </c>
      <c r="T168" s="84">
        <v>19.5</v>
      </c>
      <c r="U168" s="84">
        <v>10.9</v>
      </c>
      <c r="V168" s="84">
        <v>15.2</v>
      </c>
      <c r="W168" s="84">
        <v>10.9</v>
      </c>
      <c r="X168" s="84">
        <v>11.3</v>
      </c>
      <c r="Y168" s="84">
        <v>6.2</v>
      </c>
      <c r="Z168" s="84">
        <v>3.9</v>
      </c>
    </row>
    <row r="169" spans="1:26">
      <c r="A169" s="78">
        <f t="shared" si="20"/>
        <v>45458</v>
      </c>
      <c r="B169" s="84">
        <v>29.332000000000001</v>
      </c>
      <c r="C169" s="84">
        <v>993.3</v>
      </c>
      <c r="D169" s="84">
        <v>75.2</v>
      </c>
      <c r="E169" s="84">
        <v>997.6</v>
      </c>
      <c r="F169" s="84">
        <v>8</v>
      </c>
      <c r="G169" s="84">
        <v>10</v>
      </c>
      <c r="H169" s="84">
        <v>7</v>
      </c>
      <c r="I169" s="84">
        <v>7</v>
      </c>
      <c r="J169" s="84">
        <v>60</v>
      </c>
      <c r="K169" s="84">
        <v>2</v>
      </c>
      <c r="L169" s="84">
        <v>0</v>
      </c>
      <c r="M169" s="84">
        <v>12.2</v>
      </c>
      <c r="N169" s="84">
        <v>11.7</v>
      </c>
      <c r="O169" s="84">
        <v>94</v>
      </c>
      <c r="P169" s="84">
        <v>11.3</v>
      </c>
      <c r="Q169" s="84">
        <v>14.5</v>
      </c>
      <c r="R169" s="84">
        <v>16.399999999999999</v>
      </c>
      <c r="S169" s="84">
        <v>15.4</v>
      </c>
      <c r="T169" s="84">
        <v>20.6</v>
      </c>
      <c r="U169" s="84">
        <v>8.9</v>
      </c>
      <c r="V169" s="84">
        <v>14.8</v>
      </c>
      <c r="W169" s="84">
        <v>7.4</v>
      </c>
      <c r="X169" s="84">
        <v>9.5</v>
      </c>
      <c r="Y169" s="84">
        <v>1.5</v>
      </c>
      <c r="Z169" s="84">
        <v>8.6</v>
      </c>
    </row>
    <row r="170" spans="1:26">
      <c r="A170" s="78">
        <f t="shared" si="20"/>
        <v>45459</v>
      </c>
      <c r="B170" s="84">
        <v>29.594000000000001</v>
      </c>
      <c r="C170" s="84">
        <v>1002.2</v>
      </c>
      <c r="D170" s="84">
        <v>76.2</v>
      </c>
      <c r="E170" s="84">
        <v>1006.3</v>
      </c>
      <c r="F170" s="84">
        <v>2</v>
      </c>
      <c r="G170" s="84">
        <v>12</v>
      </c>
      <c r="H170" s="84">
        <v>8.4</v>
      </c>
      <c r="I170" s="84">
        <v>8</v>
      </c>
      <c r="J170" s="84">
        <v>2</v>
      </c>
      <c r="K170" s="84">
        <v>0</v>
      </c>
      <c r="L170" s="84">
        <v>0</v>
      </c>
      <c r="M170" s="84">
        <v>15.8</v>
      </c>
      <c r="N170" s="84">
        <v>12.4</v>
      </c>
      <c r="O170" s="84">
        <v>65</v>
      </c>
      <c r="P170" s="84">
        <v>9.3000000000000007</v>
      </c>
      <c r="Q170" s="84">
        <v>15.2</v>
      </c>
      <c r="R170" s="84">
        <v>16.8</v>
      </c>
      <c r="S170" s="84">
        <v>15.4</v>
      </c>
      <c r="T170" s="84">
        <v>21</v>
      </c>
      <c r="U170" s="84">
        <v>10.9</v>
      </c>
      <c r="V170" s="84">
        <v>16</v>
      </c>
      <c r="W170" s="84">
        <v>9.6</v>
      </c>
      <c r="X170" s="84">
        <v>9.6</v>
      </c>
      <c r="Y170" s="84" t="s">
        <v>62</v>
      </c>
      <c r="Z170" s="84">
        <v>11.5</v>
      </c>
    </row>
    <row r="171" spans="1:26">
      <c r="A171" s="78">
        <f t="shared" si="20"/>
        <v>45460</v>
      </c>
      <c r="B171" s="84">
        <v>29.693999999999999</v>
      </c>
      <c r="C171" s="84">
        <v>1005.6</v>
      </c>
      <c r="D171" s="84">
        <v>77</v>
      </c>
      <c r="E171" s="84">
        <v>1009.6</v>
      </c>
      <c r="F171" s="84">
        <v>1</v>
      </c>
      <c r="G171" s="84">
        <v>12</v>
      </c>
      <c r="H171" s="84">
        <v>8.4</v>
      </c>
      <c r="I171" s="84">
        <v>8</v>
      </c>
      <c r="J171" s="84">
        <v>2</v>
      </c>
      <c r="K171" s="84">
        <v>0</v>
      </c>
      <c r="L171" s="84">
        <v>0</v>
      </c>
      <c r="M171" s="84">
        <v>18.2</v>
      </c>
      <c r="N171" s="84">
        <v>13.2</v>
      </c>
      <c r="O171" s="84">
        <v>53</v>
      </c>
      <c r="P171" s="84">
        <v>8.6</v>
      </c>
      <c r="Q171" s="84">
        <v>17.3</v>
      </c>
      <c r="R171" s="84">
        <v>17.2</v>
      </c>
      <c r="S171" s="84">
        <v>15.4</v>
      </c>
      <c r="T171" s="84">
        <v>22.9</v>
      </c>
      <c r="U171" s="84">
        <v>10.4</v>
      </c>
      <c r="V171" s="84">
        <v>16.7</v>
      </c>
      <c r="W171" s="84">
        <v>3.5</v>
      </c>
      <c r="X171" s="84">
        <v>8</v>
      </c>
      <c r="Y171" s="84" t="s">
        <v>62</v>
      </c>
      <c r="Z171" s="84">
        <v>13.8</v>
      </c>
    </row>
    <row r="172" spans="1:26">
      <c r="A172" s="78">
        <f t="shared" si="20"/>
        <v>45461</v>
      </c>
      <c r="B172" s="84">
        <v>29.835999999999999</v>
      </c>
      <c r="C172" s="84">
        <v>1010.4</v>
      </c>
      <c r="D172" s="84">
        <v>76.400000000000006</v>
      </c>
      <c r="E172" s="84">
        <v>1014.5</v>
      </c>
      <c r="F172" s="84">
        <v>5</v>
      </c>
      <c r="G172" s="84">
        <v>8</v>
      </c>
      <c r="H172" s="84">
        <v>5.6</v>
      </c>
      <c r="I172" s="84">
        <v>8</v>
      </c>
      <c r="J172" s="84">
        <v>2</v>
      </c>
      <c r="K172" s="84">
        <v>0</v>
      </c>
      <c r="L172" s="84">
        <v>0</v>
      </c>
      <c r="M172" s="84">
        <v>17.600000000000001</v>
      </c>
      <c r="N172" s="84">
        <v>13.4</v>
      </c>
      <c r="O172" s="84">
        <v>60</v>
      </c>
      <c r="P172" s="84">
        <v>9.6999999999999993</v>
      </c>
      <c r="Q172" s="84">
        <v>19.100000000000001</v>
      </c>
      <c r="R172" s="84">
        <v>17.600000000000001</v>
      </c>
      <c r="S172" s="84">
        <v>15.6</v>
      </c>
      <c r="T172" s="84">
        <v>20.3</v>
      </c>
      <c r="U172" s="84">
        <v>12.3</v>
      </c>
      <c r="V172" s="84">
        <v>16.3</v>
      </c>
      <c r="W172" s="84">
        <v>9.1999999999999993</v>
      </c>
      <c r="X172" s="84">
        <v>10.3</v>
      </c>
      <c r="Y172" s="84" t="s">
        <v>62</v>
      </c>
      <c r="Z172" s="84">
        <v>11.5</v>
      </c>
    </row>
    <row r="173" spans="1:26">
      <c r="A173" s="78">
        <f t="shared" si="20"/>
        <v>45462</v>
      </c>
      <c r="B173" s="84">
        <v>30.033999999999999</v>
      </c>
      <c r="C173" s="84">
        <v>1017.1</v>
      </c>
      <c r="D173" s="84">
        <v>73.400000000000006</v>
      </c>
      <c r="E173" s="84">
        <v>1021.6</v>
      </c>
      <c r="F173" s="84">
        <v>5</v>
      </c>
      <c r="G173" s="84">
        <v>10</v>
      </c>
      <c r="H173" s="84">
        <v>7</v>
      </c>
      <c r="I173" s="84">
        <v>8</v>
      </c>
      <c r="J173" s="84">
        <v>2</v>
      </c>
      <c r="K173" s="84">
        <v>0</v>
      </c>
      <c r="L173" s="84">
        <v>0</v>
      </c>
      <c r="M173" s="84">
        <v>15.4</v>
      </c>
      <c r="N173" s="84">
        <v>11.8</v>
      </c>
      <c r="O173" s="84">
        <v>63</v>
      </c>
      <c r="P173" s="84">
        <v>8.3000000000000007</v>
      </c>
      <c r="Q173" s="84">
        <v>19.3</v>
      </c>
      <c r="R173" s="84">
        <v>17.8</v>
      </c>
      <c r="S173" s="84">
        <v>15.9</v>
      </c>
      <c r="T173" s="84">
        <v>20.6</v>
      </c>
      <c r="U173" s="84">
        <v>11.9</v>
      </c>
      <c r="V173" s="84">
        <v>16.3</v>
      </c>
      <c r="W173" s="84">
        <v>10</v>
      </c>
      <c r="X173" s="84">
        <v>13</v>
      </c>
      <c r="Y173" s="84" t="s">
        <v>62</v>
      </c>
      <c r="Z173" s="84">
        <v>11.2</v>
      </c>
    </row>
    <row r="174" spans="1:26">
      <c r="A174" s="78">
        <f t="shared" si="20"/>
        <v>45463</v>
      </c>
      <c r="B174" s="84">
        <v>30.004000000000001</v>
      </c>
      <c r="C174" s="84">
        <v>1016.1</v>
      </c>
      <c r="D174" s="84">
        <v>72</v>
      </c>
      <c r="E174" s="84">
        <v>1020.6</v>
      </c>
      <c r="F174" s="84">
        <v>1</v>
      </c>
      <c r="G174" s="84">
        <v>9</v>
      </c>
      <c r="H174" s="84">
        <v>6.3</v>
      </c>
      <c r="I174" s="84">
        <v>8</v>
      </c>
      <c r="J174" s="84">
        <v>2</v>
      </c>
      <c r="K174" s="84">
        <v>0</v>
      </c>
      <c r="L174" s="84">
        <v>0</v>
      </c>
      <c r="M174" s="84">
        <v>18.600000000000001</v>
      </c>
      <c r="N174" s="84">
        <v>13.8</v>
      </c>
      <c r="O174" s="84">
        <v>56</v>
      </c>
      <c r="P174" s="84">
        <v>9.6</v>
      </c>
      <c r="Q174" s="84">
        <v>19.2</v>
      </c>
      <c r="R174" s="84">
        <v>18.100000000000001</v>
      </c>
      <c r="S174" s="84">
        <v>15.8</v>
      </c>
      <c r="T174" s="84">
        <v>23.3</v>
      </c>
      <c r="U174" s="84">
        <v>8.6</v>
      </c>
      <c r="V174" s="84">
        <v>16</v>
      </c>
      <c r="W174" s="84">
        <v>6.1</v>
      </c>
      <c r="X174" s="84">
        <v>9.1</v>
      </c>
      <c r="Y174" s="84" t="s">
        <v>62</v>
      </c>
      <c r="Z174" s="84">
        <v>8.6</v>
      </c>
    </row>
    <row r="175" spans="1:26">
      <c r="A175" s="78">
        <f t="shared" si="20"/>
        <v>45464</v>
      </c>
      <c r="B175" s="84">
        <v>29.847999999999999</v>
      </c>
      <c r="C175" s="84">
        <v>1010.8</v>
      </c>
      <c r="D175" s="84">
        <v>73.5</v>
      </c>
      <c r="E175" s="84">
        <v>1015.1</v>
      </c>
      <c r="F175" s="84">
        <v>1</v>
      </c>
      <c r="G175" s="84">
        <v>8</v>
      </c>
      <c r="H175" s="84">
        <v>5.6</v>
      </c>
      <c r="I175" s="84">
        <v>8</v>
      </c>
      <c r="J175" s="84">
        <v>2</v>
      </c>
      <c r="K175" s="84">
        <v>0</v>
      </c>
      <c r="L175" s="84">
        <v>0</v>
      </c>
      <c r="M175" s="84">
        <v>20.7</v>
      </c>
      <c r="N175" s="84">
        <v>15.5</v>
      </c>
      <c r="O175" s="84">
        <v>55</v>
      </c>
      <c r="P175" s="84">
        <v>11.4</v>
      </c>
      <c r="Q175" s="84">
        <v>20.5</v>
      </c>
      <c r="R175" s="84">
        <v>18.8</v>
      </c>
      <c r="S175" s="84">
        <v>16</v>
      </c>
      <c r="T175" s="84">
        <v>23.7</v>
      </c>
      <c r="U175" s="84">
        <v>11.1</v>
      </c>
      <c r="V175" s="84">
        <v>17.399999999999999</v>
      </c>
      <c r="W175" s="84">
        <v>7.5</v>
      </c>
      <c r="X175" s="84">
        <v>11.7</v>
      </c>
      <c r="Y175" s="84">
        <v>0.3</v>
      </c>
      <c r="Z175" s="84">
        <v>12.6</v>
      </c>
    </row>
    <row r="176" spans="1:26">
      <c r="A176" s="78">
        <f t="shared" si="20"/>
        <v>45465</v>
      </c>
      <c r="B176" s="84">
        <v>29.757999999999999</v>
      </c>
      <c r="C176" s="84">
        <v>1007.7</v>
      </c>
      <c r="D176" s="84">
        <v>74.8</v>
      </c>
      <c r="E176" s="84">
        <v>1012</v>
      </c>
      <c r="F176" s="84">
        <v>6</v>
      </c>
      <c r="G176" s="84">
        <v>14</v>
      </c>
      <c r="H176" s="84">
        <v>9.8000000000000007</v>
      </c>
      <c r="I176" s="84">
        <v>8</v>
      </c>
      <c r="J176" s="84">
        <v>2</v>
      </c>
      <c r="K176" s="84">
        <v>1</v>
      </c>
      <c r="L176" s="84">
        <v>0</v>
      </c>
      <c r="M176" s="84">
        <v>17</v>
      </c>
      <c r="N176" s="84">
        <v>14.4</v>
      </c>
      <c r="O176" s="84">
        <v>74</v>
      </c>
      <c r="P176" s="84">
        <v>12.3</v>
      </c>
      <c r="Q176" s="84">
        <v>20.100000000000001</v>
      </c>
      <c r="R176" s="84">
        <v>19.2</v>
      </c>
      <c r="S176" s="84">
        <v>16.100000000000001</v>
      </c>
      <c r="T176" s="84">
        <v>21.9</v>
      </c>
      <c r="U176" s="84">
        <v>13.9</v>
      </c>
      <c r="V176" s="84">
        <v>17.899999999999999</v>
      </c>
      <c r="W176" s="84">
        <v>11.5</v>
      </c>
      <c r="X176" s="84">
        <v>14.8</v>
      </c>
      <c r="Y176" s="84" t="s">
        <v>62</v>
      </c>
      <c r="Z176" s="84">
        <v>9.3000000000000007</v>
      </c>
    </row>
    <row r="177" spans="1:26">
      <c r="A177" s="78">
        <f t="shared" si="20"/>
        <v>45466</v>
      </c>
      <c r="B177" s="84">
        <v>29.972000000000001</v>
      </c>
      <c r="C177" s="84">
        <v>1015</v>
      </c>
      <c r="D177" s="84">
        <v>73.8</v>
      </c>
      <c r="E177" s="84">
        <v>1019.3</v>
      </c>
      <c r="F177" s="84">
        <v>6</v>
      </c>
      <c r="G177" s="84">
        <v>0</v>
      </c>
      <c r="H177" s="84">
        <v>0</v>
      </c>
      <c r="I177" s="84">
        <v>8</v>
      </c>
      <c r="J177" s="84">
        <v>2</v>
      </c>
      <c r="K177" s="84">
        <v>1</v>
      </c>
      <c r="L177" s="84">
        <v>0</v>
      </c>
      <c r="M177" s="84">
        <v>20</v>
      </c>
      <c r="N177" s="84">
        <v>16</v>
      </c>
      <c r="O177" s="84">
        <v>64</v>
      </c>
      <c r="P177" s="84">
        <v>13</v>
      </c>
      <c r="Q177" s="84">
        <v>20.6</v>
      </c>
      <c r="R177" s="84">
        <v>19.100000000000001</v>
      </c>
      <c r="S177" s="84">
        <v>16.3</v>
      </c>
      <c r="T177" s="84">
        <v>24.6</v>
      </c>
      <c r="U177" s="84">
        <v>11.2</v>
      </c>
      <c r="V177" s="84">
        <v>17.899999999999999</v>
      </c>
      <c r="W177" s="84">
        <v>9.9</v>
      </c>
      <c r="X177" s="84">
        <v>12.1</v>
      </c>
      <c r="Y177" s="84" t="s">
        <v>62</v>
      </c>
      <c r="Z177" s="84">
        <v>9.4</v>
      </c>
    </row>
    <row r="178" spans="1:26">
      <c r="A178" s="78">
        <f t="shared" si="20"/>
        <v>45467</v>
      </c>
      <c r="B178" s="84">
        <v>29.925999999999998</v>
      </c>
      <c r="C178" s="84">
        <v>1013.4</v>
      </c>
      <c r="D178" s="84">
        <v>74.8</v>
      </c>
      <c r="E178" s="84">
        <v>1017.6</v>
      </c>
      <c r="F178" s="84">
        <v>6</v>
      </c>
      <c r="G178" s="84">
        <v>0</v>
      </c>
      <c r="H178" s="84">
        <v>0</v>
      </c>
      <c r="I178" s="84">
        <v>8</v>
      </c>
      <c r="J178" s="84">
        <v>2</v>
      </c>
      <c r="K178" s="84">
        <v>0</v>
      </c>
      <c r="L178" s="84">
        <v>0</v>
      </c>
      <c r="M178" s="84">
        <v>22.4</v>
      </c>
      <c r="N178" s="84">
        <v>18</v>
      </c>
      <c r="O178" s="84">
        <v>63</v>
      </c>
      <c r="P178" s="84">
        <v>15.1</v>
      </c>
      <c r="Q178" s="84">
        <v>21.7</v>
      </c>
      <c r="R178" s="84">
        <v>19.5</v>
      </c>
      <c r="S178" s="84">
        <v>16.600000000000001</v>
      </c>
      <c r="T178" s="84">
        <v>25.6</v>
      </c>
      <c r="U178" s="84">
        <v>14.3</v>
      </c>
      <c r="V178" s="84">
        <v>20</v>
      </c>
      <c r="W178" s="84">
        <v>12.7</v>
      </c>
      <c r="X178" s="84">
        <v>14.4</v>
      </c>
      <c r="Y178" s="84" t="s">
        <v>61</v>
      </c>
      <c r="Z178" s="84">
        <v>9</v>
      </c>
    </row>
    <row r="179" spans="1:26">
      <c r="A179" s="78">
        <f t="shared" si="20"/>
        <v>45468</v>
      </c>
      <c r="B179" s="84">
        <v>29.904</v>
      </c>
      <c r="C179" s="84">
        <v>1012.7</v>
      </c>
      <c r="D179" s="84">
        <v>75.599999999999994</v>
      </c>
      <c r="E179" s="84">
        <v>1016.8</v>
      </c>
      <c r="F179" s="84">
        <v>1</v>
      </c>
      <c r="G179" s="84">
        <v>0</v>
      </c>
      <c r="H179" s="84">
        <v>0</v>
      </c>
      <c r="I179" s="84">
        <v>8</v>
      </c>
      <c r="J179" s="84">
        <v>2</v>
      </c>
      <c r="K179" s="84">
        <v>0</v>
      </c>
      <c r="L179" s="84">
        <v>0</v>
      </c>
      <c r="M179" s="84">
        <v>23.3</v>
      </c>
      <c r="N179" s="84">
        <v>18.8</v>
      </c>
      <c r="O179" s="84">
        <v>63</v>
      </c>
      <c r="P179" s="84">
        <v>15.9</v>
      </c>
      <c r="Q179" s="84">
        <v>22.5</v>
      </c>
      <c r="R179" s="84">
        <v>19.899999999999999</v>
      </c>
      <c r="S179" s="84">
        <v>16.600000000000001</v>
      </c>
      <c r="T179" s="84">
        <v>28.3</v>
      </c>
      <c r="U179" s="84">
        <v>14.1</v>
      </c>
      <c r="V179" s="84">
        <v>21.2</v>
      </c>
      <c r="W179" s="84">
        <v>13.2</v>
      </c>
      <c r="X179" s="84">
        <v>15</v>
      </c>
      <c r="Y179" s="84" t="s">
        <v>62</v>
      </c>
      <c r="Z179" s="84">
        <v>14.6</v>
      </c>
    </row>
    <row r="180" spans="1:26">
      <c r="A180" s="78">
        <f t="shared" si="20"/>
        <v>45469</v>
      </c>
      <c r="B180" s="84">
        <v>29.82</v>
      </c>
      <c r="C180" s="84">
        <v>1009.8</v>
      </c>
      <c r="D180" s="84">
        <v>75.599999999999994</v>
      </c>
      <c r="E180" s="84">
        <v>1013.9</v>
      </c>
      <c r="F180" s="84">
        <v>0</v>
      </c>
      <c r="G180" s="84">
        <v>0</v>
      </c>
      <c r="H180" s="84">
        <v>0</v>
      </c>
      <c r="I180" s="84">
        <v>8</v>
      </c>
      <c r="J180" s="84">
        <v>2</v>
      </c>
      <c r="K180" s="84">
        <v>0</v>
      </c>
      <c r="L180" s="84">
        <v>0</v>
      </c>
      <c r="M180" s="84">
        <v>23.7</v>
      </c>
      <c r="N180" s="84">
        <v>19.600000000000001</v>
      </c>
      <c r="O180" s="84">
        <v>67</v>
      </c>
      <c r="P180" s="84">
        <v>17.100000000000001</v>
      </c>
      <c r="Q180" s="84">
        <v>23.4</v>
      </c>
      <c r="R180" s="84">
        <v>20.6</v>
      </c>
      <c r="S180" s="84">
        <v>16.8</v>
      </c>
      <c r="T180" s="84">
        <v>28.9</v>
      </c>
      <c r="U180" s="84">
        <v>14.9</v>
      </c>
      <c r="V180" s="84">
        <v>21.9</v>
      </c>
      <c r="W180" s="84">
        <v>12.4</v>
      </c>
      <c r="X180" s="84">
        <v>15.1</v>
      </c>
      <c r="Y180" s="84" t="s">
        <v>62</v>
      </c>
      <c r="Z180" s="84">
        <v>13.4</v>
      </c>
    </row>
    <row r="181" spans="1:26">
      <c r="A181" s="78">
        <f t="shared" si="20"/>
        <v>45470</v>
      </c>
      <c r="B181" s="84">
        <v>29.687999999999999</v>
      </c>
      <c r="C181" s="84">
        <v>1005.4</v>
      </c>
      <c r="D181" s="84">
        <v>74.5</v>
      </c>
      <c r="E181" s="84">
        <v>1009.6</v>
      </c>
      <c r="F181" s="84">
        <v>8</v>
      </c>
      <c r="G181" s="84">
        <v>15</v>
      </c>
      <c r="H181" s="84">
        <v>10.5</v>
      </c>
      <c r="I181" s="84">
        <v>8</v>
      </c>
      <c r="J181" s="84">
        <v>2</v>
      </c>
      <c r="K181" s="84">
        <v>0</v>
      </c>
      <c r="L181" s="84">
        <v>0</v>
      </c>
      <c r="M181" s="84">
        <v>18.5</v>
      </c>
      <c r="N181" s="84">
        <v>15.6</v>
      </c>
      <c r="O181" s="84">
        <v>47</v>
      </c>
      <c r="P181" s="84">
        <v>7</v>
      </c>
      <c r="Q181" s="84">
        <v>23.4</v>
      </c>
      <c r="R181" s="84">
        <v>21.1</v>
      </c>
      <c r="S181" s="84">
        <v>17</v>
      </c>
      <c r="T181" s="84">
        <v>21.9</v>
      </c>
      <c r="U181" s="84">
        <v>13.6</v>
      </c>
      <c r="V181" s="84">
        <v>17.8</v>
      </c>
      <c r="W181" s="84">
        <v>13.6</v>
      </c>
      <c r="X181" s="84">
        <v>16</v>
      </c>
      <c r="Y181" s="84" t="s">
        <v>62</v>
      </c>
      <c r="Z181" s="84">
        <v>11</v>
      </c>
    </row>
    <row r="182" spans="1:26">
      <c r="A182" s="78">
        <f t="shared" si="20"/>
        <v>45471</v>
      </c>
      <c r="B182" s="84">
        <v>29.858000000000001</v>
      </c>
      <c r="C182" s="84">
        <v>1011.1</v>
      </c>
      <c r="D182" s="84">
        <v>74.2</v>
      </c>
      <c r="E182" s="84">
        <v>1015.5</v>
      </c>
      <c r="F182" s="84">
        <v>5</v>
      </c>
      <c r="G182" s="84">
        <v>15</v>
      </c>
      <c r="H182" s="84">
        <v>10.5</v>
      </c>
      <c r="I182" s="84">
        <v>8</v>
      </c>
      <c r="J182" s="84">
        <v>2</v>
      </c>
      <c r="K182" s="84">
        <v>0</v>
      </c>
      <c r="L182" s="84">
        <v>0</v>
      </c>
      <c r="M182" s="84">
        <v>17.2</v>
      </c>
      <c r="N182" s="84">
        <v>12.7</v>
      </c>
      <c r="O182" s="84">
        <v>56</v>
      </c>
      <c r="P182" s="84">
        <v>8.5</v>
      </c>
      <c r="Q182" s="84">
        <v>21.1</v>
      </c>
      <c r="R182" s="84">
        <v>20.399999999999999</v>
      </c>
      <c r="S182" s="84">
        <v>17.3</v>
      </c>
      <c r="T182" s="84">
        <v>20.2</v>
      </c>
      <c r="U182" s="84">
        <v>8.3000000000000007</v>
      </c>
      <c r="V182" s="84">
        <v>14.3</v>
      </c>
      <c r="W182" s="84">
        <v>8.3000000000000007</v>
      </c>
      <c r="X182" s="84">
        <v>13.1</v>
      </c>
      <c r="Y182" s="84" t="s">
        <v>62</v>
      </c>
      <c r="Z182" s="84">
        <v>8.6</v>
      </c>
    </row>
    <row r="183" spans="1:26">
      <c r="A183" s="78">
        <f t="shared" si="20"/>
        <v>45472</v>
      </c>
      <c r="B183" s="84">
        <v>29.988</v>
      </c>
      <c r="C183" s="84">
        <v>1015.5</v>
      </c>
      <c r="D183" s="84">
        <v>74.2</v>
      </c>
      <c r="E183" s="84">
        <v>1019.9</v>
      </c>
      <c r="F183" s="84">
        <v>3</v>
      </c>
      <c r="G183" s="84">
        <v>0</v>
      </c>
      <c r="H183" s="84">
        <v>0</v>
      </c>
      <c r="I183" s="84">
        <v>8</v>
      </c>
      <c r="J183" s="84">
        <v>2</v>
      </c>
      <c r="K183" s="84">
        <v>0</v>
      </c>
      <c r="L183" s="84">
        <v>0</v>
      </c>
      <c r="M183" s="84">
        <v>17.399999999999999</v>
      </c>
      <c r="N183" s="84">
        <v>12.7</v>
      </c>
      <c r="O183" s="84">
        <v>55</v>
      </c>
      <c r="P183" s="84">
        <v>8.3000000000000007</v>
      </c>
      <c r="Q183" s="84">
        <v>20.399999999999999</v>
      </c>
      <c r="R183" s="84">
        <v>19.5</v>
      </c>
      <c r="S183" s="84">
        <v>17.5</v>
      </c>
      <c r="T183" s="84">
        <v>24.2</v>
      </c>
      <c r="U183" s="84">
        <v>9.5</v>
      </c>
      <c r="V183" s="84">
        <v>16.899999999999999</v>
      </c>
      <c r="W183" s="84">
        <v>5.9</v>
      </c>
      <c r="X183" s="84">
        <v>9.8000000000000007</v>
      </c>
      <c r="Y183" s="84" t="s">
        <v>61</v>
      </c>
      <c r="Z183" s="84">
        <v>13.5</v>
      </c>
    </row>
    <row r="184" spans="1:26">
      <c r="A184" s="78">
        <f t="shared" si="20"/>
        <v>45473</v>
      </c>
      <c r="B184" s="84">
        <v>29.812000000000001</v>
      </c>
      <c r="C184" s="84">
        <v>1009.5</v>
      </c>
      <c r="D184" s="84">
        <v>74</v>
      </c>
      <c r="E184" s="84">
        <v>1014</v>
      </c>
      <c r="F184" s="84">
        <v>8</v>
      </c>
      <c r="G184" s="84">
        <v>10</v>
      </c>
      <c r="H184" s="84">
        <v>7</v>
      </c>
      <c r="I184" s="84">
        <v>8</v>
      </c>
      <c r="J184" s="84">
        <v>2</v>
      </c>
      <c r="K184" s="84">
        <v>0</v>
      </c>
      <c r="L184" s="84">
        <v>0</v>
      </c>
      <c r="M184" s="84">
        <v>15</v>
      </c>
      <c r="N184" s="84">
        <v>11.4</v>
      </c>
      <c r="O184" s="84">
        <v>62</v>
      </c>
      <c r="P184" s="84">
        <v>7.8</v>
      </c>
      <c r="Q184" s="84">
        <v>21.9</v>
      </c>
      <c r="R184" s="84">
        <v>20.2</v>
      </c>
      <c r="S184" s="84">
        <v>17.399999999999999</v>
      </c>
      <c r="T184" s="84">
        <v>17.7</v>
      </c>
      <c r="U184" s="84">
        <v>12.8</v>
      </c>
      <c r="V184" s="84">
        <v>15.3</v>
      </c>
      <c r="W184" s="84">
        <v>12</v>
      </c>
      <c r="X184" s="84">
        <v>15</v>
      </c>
      <c r="Y184" s="84" t="s">
        <v>62</v>
      </c>
      <c r="Z184" s="84">
        <v>1.7</v>
      </c>
    </row>
    <row r="185" spans="1:26">
      <c r="A185" s="78">
        <f t="shared" si="20"/>
        <v>45474</v>
      </c>
      <c r="B185" s="91">
        <v>29.981999999999999</v>
      </c>
      <c r="C185" s="92">
        <f>B185*33.86388</f>
        <v>1015.3068501600001</v>
      </c>
      <c r="D185" s="92">
        <v>73.400000000000006</v>
      </c>
      <c r="E185" s="92">
        <f>(C185-0.163*((D185-32)*5/9) + (0.5685 *((C185-0.163*((D185-32)*5/9)))/1000)) *EXP([5]Calc!$C$14/((M185+273.15)+((0.0065*64.6)/2)+(0.12*0.85*((6.112*EXP((17.67*M185)/(M185+243.5)))))))</f>
        <v>1019.8058379352268</v>
      </c>
      <c r="F185" s="93">
        <v>8</v>
      </c>
      <c r="G185" s="94">
        <v>12</v>
      </c>
      <c r="H185" s="32">
        <f>G185*0.7</f>
        <v>8.3999999999999986</v>
      </c>
      <c r="I185" s="84">
        <v>8</v>
      </c>
      <c r="J185" s="95">
        <v>2</v>
      </c>
      <c r="K185" s="84">
        <v>0</v>
      </c>
      <c r="L185" s="84">
        <v>0</v>
      </c>
      <c r="M185" s="96">
        <v>16.899999999999999</v>
      </c>
      <c r="N185" s="96">
        <v>12.7</v>
      </c>
      <c r="O185" s="93">
        <f>IF(M185&gt;0,100*(((6.112*EXP((17.67*N185)/(N185+243.5)))-0.8*(M185-N185))/(6.112*EXP((17.67*M185)/(M185+243.5)))),100*(((6.109*EXP((22.5*N185)/(N185+273)))-0.8*(M185-N185))/(6.109*EXP((22.5*M185)/(M185+273)))))</f>
        <v>58.808610265386342</v>
      </c>
      <c r="P185" s="96">
        <f t="shared" ref="P185" si="21">IF(M185&gt;0, (243.5*LN(((6.112*EXP((17.67*N185)/(N185+243.5)))-0.8*(M185-N185))/6.112))/(17.67-LN(((6.112*EXP((17.67*N185)/(N185+243.5)))-0.8*(M185-N185))/6.112)),(273*LN(((6.109*EXP((22.5*N185)/(N185+273)))-0.8*(M185-N185))/6.109))/(22.5-LN(((6.109*EXP((22.5*N185)/(N185+273)))-0.8*(M185-N185))/6.109)))</f>
        <v>8.7939328443832583</v>
      </c>
      <c r="Q185" s="97">
        <v>21</v>
      </c>
      <c r="R185" s="96">
        <v>19.399999999999999</v>
      </c>
      <c r="S185" s="96">
        <v>17.399999999999999</v>
      </c>
      <c r="T185" s="96">
        <v>18.600000000000001</v>
      </c>
      <c r="U185" s="96">
        <v>12.6</v>
      </c>
      <c r="V185" s="96">
        <f>AVERAGE(T185:U185)</f>
        <v>15.600000000000001</v>
      </c>
      <c r="W185" s="96">
        <v>12.2</v>
      </c>
      <c r="X185" s="96">
        <v>14.4</v>
      </c>
      <c r="Y185" s="98">
        <v>0</v>
      </c>
      <c r="Z185" s="99">
        <v>1.6</v>
      </c>
    </row>
    <row r="186" spans="1:26">
      <c r="A186" s="78">
        <f t="shared" si="20"/>
        <v>45475</v>
      </c>
      <c r="B186" s="91">
        <v>29.974</v>
      </c>
      <c r="C186" s="92">
        <f t="shared" ref="C186:C215" si="22">B186*33.86388</f>
        <v>1015.0359391200001</v>
      </c>
      <c r="D186" s="92">
        <v>70.2</v>
      </c>
      <c r="E186" s="92">
        <f>(C186-0.163*((D186-32)*5/9) + (0.5685 *((C186-0.163*((D186-32)*5/9)))/1000)) *EXP([5]Calc!$C$14/((M186+273.15)+((0.0065*64.6)/2)+(0.12*0.85*((6.112*EXP((17.67*M186)/(M186+243.5)))))))</f>
        <v>1019.9169954187896</v>
      </c>
      <c r="F186" s="93">
        <v>8</v>
      </c>
      <c r="G186" s="94">
        <v>10</v>
      </c>
      <c r="H186" s="32">
        <f t="shared" ref="H186:H215" si="23">G186*0.7</f>
        <v>7</v>
      </c>
      <c r="I186" s="84">
        <v>8</v>
      </c>
      <c r="J186" s="95">
        <v>2</v>
      </c>
      <c r="K186" s="84">
        <v>0</v>
      </c>
      <c r="L186" s="84">
        <v>0</v>
      </c>
      <c r="M186" s="96">
        <v>13.8</v>
      </c>
      <c r="N186" s="96">
        <v>12</v>
      </c>
      <c r="O186" s="93">
        <f t="shared" ref="O186:O215" si="24">IF(M186&gt;0,100*(((6.112*EXP((17.67*N186)/(N186+243.5)))-0.8*(M186-N186))/(6.112*EXP((17.67*M186)/(M186+243.5)))),100*(((6.109*EXP((22.5*N186)/(N186+273)))-0.8*(M186-N186))/(6.109*EXP((22.5*M186)/(M186+273)))))</f>
        <v>79.754026962270643</v>
      </c>
      <c r="P186" s="96">
        <f>IF(M186&gt;0, (243.5*LN(((6.112*EXP((17.67*N186)/(N186+243.5)))-0.8*(M186-N186))/6.112))/(17.67-LN(((6.112*EXP((17.67*N186)/(N186+243.5)))-0.8*(M186-N186))/6.112)),(273*LN(((6.109*EXP((22.5*N186)/(N186+273)))-0.8*(M186-N186))/6.109))/(22.5-LN(((6.109*EXP((22.5*N186)/(N186+273)))-0.8*(M186-N186))/6.109)))</f>
        <v>10.365647481908262</v>
      </c>
      <c r="Q186" s="97">
        <v>19</v>
      </c>
      <c r="R186" s="96">
        <v>18.8</v>
      </c>
      <c r="S186" s="96">
        <v>17.399999999999999</v>
      </c>
      <c r="T186" s="96">
        <v>19.3</v>
      </c>
      <c r="U186" s="96">
        <v>11</v>
      </c>
      <c r="V186" s="96">
        <f t="shared" ref="V186:V215" si="25">AVERAGE(T186:U186)</f>
        <v>15.15</v>
      </c>
      <c r="W186" s="96">
        <v>10.8</v>
      </c>
      <c r="X186" s="96">
        <v>12.5</v>
      </c>
      <c r="Y186" s="98">
        <v>0.2</v>
      </c>
      <c r="Z186" s="99">
        <v>1.1000000000000001</v>
      </c>
    </row>
    <row r="187" spans="1:26">
      <c r="A187" s="78">
        <f t="shared" si="20"/>
        <v>45476</v>
      </c>
      <c r="B187" s="91">
        <v>29.65</v>
      </c>
      <c r="C187" s="92">
        <f t="shared" si="22"/>
        <v>1004.064042</v>
      </c>
      <c r="D187" s="92">
        <v>72</v>
      </c>
      <c r="E187" s="92">
        <f>(C187-0.163*((D187-32)*5/9) + (0.5685 *((C187-0.163*((D187-32)*5/9)))/1000)) *EXP([5]Calc!$C$14/((M187+273.15)+((0.0065*64.6)/2)+(0.12*0.85*((6.112*EXP((17.67*M187)/(M187+243.5)))))))</f>
        <v>1008.6961917042747</v>
      </c>
      <c r="F187" s="93">
        <v>8</v>
      </c>
      <c r="G187" s="94">
        <v>11</v>
      </c>
      <c r="H187" s="32">
        <f t="shared" si="23"/>
        <v>7.6999999999999993</v>
      </c>
      <c r="I187" s="84">
        <v>5</v>
      </c>
      <c r="J187" s="95">
        <v>58</v>
      </c>
      <c r="K187" s="84">
        <v>1</v>
      </c>
      <c r="L187" s="84">
        <v>0</v>
      </c>
      <c r="M187" s="96">
        <v>13.6</v>
      </c>
      <c r="N187" s="96">
        <v>12.1</v>
      </c>
      <c r="O187" s="93">
        <f t="shared" si="24"/>
        <v>82.935554472744769</v>
      </c>
      <c r="P187" s="96">
        <f t="shared" ref="P187:P215" si="26">IF(M187&gt;0, (243.5*LN(((6.112*EXP((17.67*N187)/(N187+243.5)))-0.8*(M187-N187))/6.112))/(17.67-LN(((6.112*EXP((17.67*N187)/(N187+243.5)))-0.8*(M187-N187))/6.112)),(273*LN(((6.109*EXP((22.5*N187)/(N187+273)))-0.8*(M187-N187))/6.109))/(22.5-LN(((6.109*EXP((22.5*N187)/(N187+273)))-0.8*(M187-N187))/6.109)))</f>
        <v>10.75731652110348</v>
      </c>
      <c r="Q187" s="97">
        <v>18.399999999999999</v>
      </c>
      <c r="R187" s="96">
        <v>18.5</v>
      </c>
      <c r="S187" s="96">
        <v>17.5</v>
      </c>
      <c r="T187" s="96">
        <v>19</v>
      </c>
      <c r="U187" s="96">
        <v>11.6</v>
      </c>
      <c r="V187" s="96">
        <f t="shared" si="25"/>
        <v>15.3</v>
      </c>
      <c r="W187" s="96">
        <v>10.4</v>
      </c>
      <c r="X187" s="96">
        <v>12.6</v>
      </c>
      <c r="Y187" s="98">
        <v>0.4</v>
      </c>
      <c r="Z187" s="99">
        <v>1.6</v>
      </c>
    </row>
    <row r="188" spans="1:26">
      <c r="A188" s="78">
        <f t="shared" si="20"/>
        <v>45477</v>
      </c>
      <c r="B188" s="91">
        <v>29.716000000000001</v>
      </c>
      <c r="C188" s="92">
        <f t="shared" si="22"/>
        <v>1006.2990580800001</v>
      </c>
      <c r="D188" s="92">
        <v>71.2</v>
      </c>
      <c r="E188" s="92">
        <f>(C188-0.163*((D188-32)*5/9) + (0.5685 *((C188-0.163*((D188-32)*5/9)))/1000)) *EXP([5]Calc!$C$14/((M188+273.15)+((0.0065*64.6)/2)+(0.12*0.85*((6.112*EXP((17.67*M188)/(M188+243.5)))))))</f>
        <v>1010.9548496411358</v>
      </c>
      <c r="F188" s="93">
        <v>4</v>
      </c>
      <c r="G188" s="94">
        <v>17</v>
      </c>
      <c r="H188" s="32">
        <f t="shared" si="23"/>
        <v>11.899999999999999</v>
      </c>
      <c r="I188" s="84">
        <v>8</v>
      </c>
      <c r="J188" s="95">
        <v>3</v>
      </c>
      <c r="K188" s="84">
        <v>1</v>
      </c>
      <c r="L188" s="84">
        <v>0</v>
      </c>
      <c r="M188" s="96">
        <v>15.9</v>
      </c>
      <c r="N188" s="96">
        <v>10.6</v>
      </c>
      <c r="O188" s="93">
        <f t="shared" si="24"/>
        <v>47.267771841969633</v>
      </c>
      <c r="P188" s="96">
        <f t="shared" si="26"/>
        <v>4.6877055591323229</v>
      </c>
      <c r="Q188" s="97">
        <v>17.5</v>
      </c>
      <c r="R188" s="96">
        <v>18.600000000000001</v>
      </c>
      <c r="S188" s="96">
        <v>17.3</v>
      </c>
      <c r="T188" s="96">
        <v>19.600000000000001</v>
      </c>
      <c r="U188" s="96">
        <v>10.5</v>
      </c>
      <c r="V188" s="96">
        <f t="shared" si="25"/>
        <v>15.05</v>
      </c>
      <c r="W188" s="96">
        <v>7.4</v>
      </c>
      <c r="X188" s="96">
        <v>9.6</v>
      </c>
      <c r="Y188" s="98">
        <v>2.4</v>
      </c>
      <c r="Z188" s="99">
        <f>6.7+AB188</f>
        <v>6.7</v>
      </c>
    </row>
    <row r="189" spans="1:26">
      <c r="A189" s="78">
        <f t="shared" si="20"/>
        <v>45478</v>
      </c>
      <c r="B189" s="91">
        <v>29.591999999999999</v>
      </c>
      <c r="C189" s="92">
        <f t="shared" si="22"/>
        <v>1002.09993696</v>
      </c>
      <c r="D189" s="92">
        <v>72.400000000000006</v>
      </c>
      <c r="E189" s="92">
        <f>(C189-0.163*((D189-32)*5/9) + (0.5685 *((C189-0.163*((D189-32)*5/9)))/1000)) *EXP([5]Calc!$C$14/((M189+273.15)+((0.0065*64.6)/2)+(0.12*0.85*((6.112*EXP((17.67*M189)/(M189+243.5)))))))</f>
        <v>1006.6264691443968</v>
      </c>
      <c r="F189" s="93">
        <v>8</v>
      </c>
      <c r="G189" s="94">
        <v>0</v>
      </c>
      <c r="H189" s="32">
        <f t="shared" si="23"/>
        <v>0</v>
      </c>
      <c r="I189" s="84">
        <v>8</v>
      </c>
      <c r="J189" s="95">
        <v>2</v>
      </c>
      <c r="K189" s="84">
        <v>2</v>
      </c>
      <c r="L189" s="84">
        <v>0</v>
      </c>
      <c r="M189" s="96">
        <v>15.4</v>
      </c>
      <c r="N189" s="96">
        <v>14.3</v>
      </c>
      <c r="O189" s="93">
        <f t="shared" si="24"/>
        <v>88.121424501268066</v>
      </c>
      <c r="P189" s="96">
        <f t="shared" si="26"/>
        <v>13.444891752739201</v>
      </c>
      <c r="Q189" s="97">
        <v>18.3</v>
      </c>
      <c r="R189" s="96">
        <v>18</v>
      </c>
      <c r="S189" s="96">
        <v>17.3</v>
      </c>
      <c r="T189" s="96">
        <v>19.399999999999999</v>
      </c>
      <c r="U189" s="96">
        <v>11.6</v>
      </c>
      <c r="V189" s="96">
        <f t="shared" si="25"/>
        <v>15.5</v>
      </c>
      <c r="W189" s="96">
        <v>11.2</v>
      </c>
      <c r="X189" s="96">
        <v>12.5</v>
      </c>
      <c r="Y189" s="98">
        <v>29.2</v>
      </c>
      <c r="Z189" s="99">
        <v>0.7</v>
      </c>
    </row>
    <row r="190" spans="1:26">
      <c r="A190" s="78">
        <f t="shared" si="20"/>
        <v>45479</v>
      </c>
      <c r="B190" s="91">
        <v>29.378</v>
      </c>
      <c r="C190" s="92">
        <f t="shared" si="22"/>
        <v>994.85306664000007</v>
      </c>
      <c r="D190" s="92">
        <v>70.599999999999994</v>
      </c>
      <c r="E190" s="92">
        <f>(C190-0.163*((D190-32)*5/9) + (0.5685 *((C190-0.163*((D190-32)*5/9)))/1000)) *EXP([5]Calc!$C$14/((M190+273.15)+((0.0065*64.6)/2)+(0.12*0.85*((6.112*EXP((17.67*M190)/(M190+243.5)))))))</f>
        <v>999.62507412951095</v>
      </c>
      <c r="F190" s="93">
        <v>8</v>
      </c>
      <c r="G190" s="94">
        <v>11</v>
      </c>
      <c r="H190" s="32">
        <f t="shared" si="23"/>
        <v>7.6999999999999993</v>
      </c>
      <c r="I190" s="84">
        <v>6</v>
      </c>
      <c r="J190" s="95">
        <v>63</v>
      </c>
      <c r="K190" s="84">
        <v>2</v>
      </c>
      <c r="L190" s="84">
        <v>0</v>
      </c>
      <c r="M190" s="96">
        <v>10.6</v>
      </c>
      <c r="N190" s="96">
        <v>10.1</v>
      </c>
      <c r="O190" s="93">
        <f t="shared" si="24"/>
        <v>93.585129904260597</v>
      </c>
      <c r="P190" s="96">
        <f t="shared" si="26"/>
        <v>9.60898184052642</v>
      </c>
      <c r="Q190" s="97">
        <v>15.6</v>
      </c>
      <c r="R190" s="96">
        <v>18</v>
      </c>
      <c r="S190" s="96">
        <v>17.2</v>
      </c>
      <c r="T190" s="96">
        <v>16.899999999999999</v>
      </c>
      <c r="U190" s="96">
        <v>10</v>
      </c>
      <c r="V190" s="96">
        <f t="shared" si="25"/>
        <v>13.45</v>
      </c>
      <c r="W190" s="96">
        <v>11.8</v>
      </c>
      <c r="X190" s="96">
        <v>11.5</v>
      </c>
      <c r="Y190" s="98">
        <v>3</v>
      </c>
      <c r="Z190" s="99">
        <v>6.2</v>
      </c>
    </row>
    <row r="191" spans="1:26">
      <c r="A191" s="78">
        <f t="shared" si="20"/>
        <v>45480</v>
      </c>
      <c r="B191" s="91">
        <v>29.606999999999999</v>
      </c>
      <c r="C191" s="92">
        <f t="shared" si="22"/>
        <v>1002.60789516</v>
      </c>
      <c r="D191" s="92">
        <v>70.2</v>
      </c>
      <c r="E191" s="92">
        <f>(C191-0.163*((D191-32)*5/9) + (0.5685 *((C191-0.163*((D191-32)*5/9)))/1000)) *EXP([5]Calc!$C$14/((M191+273.15)+((0.0065*64.6)/2)+(0.12*0.85*((6.112*EXP((17.67*M191)/(M191+243.5)))))))</f>
        <v>1007.3335777880992</v>
      </c>
      <c r="F191" s="93">
        <v>6</v>
      </c>
      <c r="G191" s="94">
        <v>12</v>
      </c>
      <c r="H191" s="32">
        <f t="shared" si="23"/>
        <v>8.3999999999999986</v>
      </c>
      <c r="I191" s="84">
        <v>8</v>
      </c>
      <c r="J191" s="95">
        <v>3</v>
      </c>
      <c r="K191" s="84">
        <v>2</v>
      </c>
      <c r="L191" s="84">
        <v>0</v>
      </c>
      <c r="M191" s="96">
        <v>15.6</v>
      </c>
      <c r="N191" s="96">
        <v>12.8</v>
      </c>
      <c r="O191" s="93">
        <f t="shared" si="24"/>
        <v>70.760633597219112</v>
      </c>
      <c r="P191" s="96">
        <f t="shared" si="26"/>
        <v>10.313643548539515</v>
      </c>
      <c r="Q191" s="97">
        <v>15.9</v>
      </c>
      <c r="R191" s="96">
        <v>17.7</v>
      </c>
      <c r="S191" s="96">
        <v>17</v>
      </c>
      <c r="T191" s="96">
        <v>19.600000000000001</v>
      </c>
      <c r="U191" s="96">
        <v>9.1999999999999993</v>
      </c>
      <c r="V191" s="96">
        <f t="shared" si="25"/>
        <v>14.4</v>
      </c>
      <c r="W191" s="96">
        <v>6.1</v>
      </c>
      <c r="X191" s="96">
        <v>9</v>
      </c>
      <c r="Y191" s="98">
        <v>1.1000000000000001</v>
      </c>
      <c r="Z191" s="99">
        <v>6.4</v>
      </c>
    </row>
    <row r="192" spans="1:26">
      <c r="A192" s="78">
        <f t="shared" si="20"/>
        <v>45481</v>
      </c>
      <c r="B192" s="91">
        <v>29.838000000000001</v>
      </c>
      <c r="C192" s="92">
        <f t="shared" si="22"/>
        <v>1010.4304514400001</v>
      </c>
      <c r="D192" s="92">
        <v>69.400000000000006</v>
      </c>
      <c r="E192" s="92">
        <f>(C192-0.163*((D192-32)*5/9) + (0.5685 *((C192-0.163*((D192-32)*5/9)))/1000)) *EXP([5]Calc!$C$14/((M192+273.15)+((0.0065*64.6)/2)+(0.12*0.85*((6.112*EXP((17.67*M192)/(M192+243.5)))))))</f>
        <v>1015.2342103497971</v>
      </c>
      <c r="F192" s="93">
        <v>5</v>
      </c>
      <c r="G192" s="94">
        <v>10</v>
      </c>
      <c r="H192" s="32">
        <f t="shared" si="23"/>
        <v>7</v>
      </c>
      <c r="I192" s="84">
        <v>8</v>
      </c>
      <c r="J192" s="95">
        <v>2</v>
      </c>
      <c r="K192" s="84">
        <v>0</v>
      </c>
      <c r="L192" s="84">
        <v>0</v>
      </c>
      <c r="M192" s="96">
        <v>17.600000000000001</v>
      </c>
      <c r="N192" s="96">
        <v>13.4</v>
      </c>
      <c r="O192" s="93">
        <f t="shared" si="24"/>
        <v>59.676908073996024</v>
      </c>
      <c r="P192" s="96">
        <f t="shared" si="26"/>
        <v>9.6691239570355414</v>
      </c>
      <c r="Q192" s="97">
        <v>16.600000000000001</v>
      </c>
      <c r="R192" s="96">
        <v>17.5</v>
      </c>
      <c r="S192" s="96">
        <v>17</v>
      </c>
      <c r="T192" s="96">
        <v>19.100000000000001</v>
      </c>
      <c r="U192" s="96">
        <v>8.5</v>
      </c>
      <c r="V192" s="96">
        <f t="shared" si="25"/>
        <v>13.8</v>
      </c>
      <c r="W192" s="96">
        <v>5.2</v>
      </c>
      <c r="X192" s="96">
        <v>8.5</v>
      </c>
      <c r="Y192" s="98">
        <v>11.4</v>
      </c>
      <c r="Z192" s="99">
        <v>1.8</v>
      </c>
    </row>
    <row r="193" spans="1:26">
      <c r="A193" s="78">
        <f t="shared" si="20"/>
        <v>45482</v>
      </c>
      <c r="B193" s="91">
        <v>29.658000000000001</v>
      </c>
      <c r="C193" s="92">
        <f t="shared" si="22"/>
        <v>1004.3349530400001</v>
      </c>
      <c r="D193" s="92">
        <v>70.099999999999994</v>
      </c>
      <c r="E193" s="92">
        <f>(C193-0.163*((D193-32)*5/9) + (0.5685 *((C193-0.163*((D193-32)*5/9)))/1000)) *EXP([5]Calc!$C$14/((M193+273.15)+((0.0065*64.6)/2)+(0.12*0.85*((6.112*EXP((17.67*M193)/(M193+243.5)))))))</f>
        <v>1008.9813291250605</v>
      </c>
      <c r="F193" s="93">
        <v>8</v>
      </c>
      <c r="G193" s="94">
        <v>10</v>
      </c>
      <c r="H193" s="32">
        <f t="shared" si="23"/>
        <v>7</v>
      </c>
      <c r="I193" s="84">
        <v>8</v>
      </c>
      <c r="J193" s="95">
        <v>2</v>
      </c>
      <c r="K193" s="84">
        <v>1</v>
      </c>
      <c r="L193" s="84">
        <v>0</v>
      </c>
      <c r="M193" s="96">
        <v>19.100000000000001</v>
      </c>
      <c r="N193" s="96">
        <v>17.3</v>
      </c>
      <c r="O193" s="93">
        <f t="shared" si="24"/>
        <v>82.790902196309631</v>
      </c>
      <c r="P193" s="96">
        <f t="shared" si="26"/>
        <v>16.107745981508444</v>
      </c>
      <c r="Q193" s="97">
        <v>17</v>
      </c>
      <c r="R193" s="96">
        <v>17.600000000000001</v>
      </c>
      <c r="S193" s="96">
        <v>16.8</v>
      </c>
      <c r="T193" s="96">
        <v>20.399999999999999</v>
      </c>
      <c r="U193" s="96">
        <v>13.3</v>
      </c>
      <c r="V193" s="96">
        <f t="shared" si="25"/>
        <v>16.850000000000001</v>
      </c>
      <c r="W193" s="96">
        <v>13.2</v>
      </c>
      <c r="X193" s="96">
        <v>14.2</v>
      </c>
      <c r="Y193" s="98">
        <v>0.4</v>
      </c>
      <c r="Z193" s="99">
        <v>1.8</v>
      </c>
    </row>
    <row r="194" spans="1:26">
      <c r="A194" s="78">
        <f t="shared" si="20"/>
        <v>45483</v>
      </c>
      <c r="B194" s="91">
        <v>29.74</v>
      </c>
      <c r="C194" s="92">
        <f t="shared" si="22"/>
        <v>1007.1117912</v>
      </c>
      <c r="D194" s="92">
        <v>70.599999999999994</v>
      </c>
      <c r="E194" s="92">
        <f>(C194-0.163*((D194-32)*5/9) + (0.5685 *((C194-0.163*((D194-32)*5/9)))/1000)) *EXP([5]Calc!$C$14/((M194+273.15)+((0.0065*64.6)/2)+(0.12*0.85*((6.112*EXP((17.67*M194)/(M194+243.5)))))))</f>
        <v>1011.8054636135641</v>
      </c>
      <c r="F194" s="93">
        <v>8</v>
      </c>
      <c r="G194" s="94">
        <v>17</v>
      </c>
      <c r="H194" s="32">
        <f t="shared" si="23"/>
        <v>11.899999999999999</v>
      </c>
      <c r="I194" s="84">
        <v>8</v>
      </c>
      <c r="J194" s="95">
        <v>2</v>
      </c>
      <c r="K194" s="84">
        <v>1</v>
      </c>
      <c r="L194" s="84">
        <v>0</v>
      </c>
      <c r="M194" s="96">
        <v>16.7</v>
      </c>
      <c r="N194" s="96">
        <v>14.8</v>
      </c>
      <c r="O194" s="93">
        <f t="shared" si="24"/>
        <v>80.546382074379025</v>
      </c>
      <c r="P194" s="96">
        <f t="shared" si="26"/>
        <v>13.339801825779512</v>
      </c>
      <c r="Q194" s="97">
        <v>17.5</v>
      </c>
      <c r="R194" s="96">
        <v>18</v>
      </c>
      <c r="S194" s="96">
        <v>16.899999999999999</v>
      </c>
      <c r="T194" s="96">
        <v>21</v>
      </c>
      <c r="U194" s="96">
        <v>15.5</v>
      </c>
      <c r="V194" s="96">
        <f t="shared" si="25"/>
        <v>18.25</v>
      </c>
      <c r="W194" s="96">
        <v>14.3</v>
      </c>
      <c r="X194" s="96">
        <v>14.7</v>
      </c>
      <c r="Y194" s="98">
        <v>0</v>
      </c>
      <c r="Z194" s="99">
        <v>11.7</v>
      </c>
    </row>
    <row r="195" spans="1:26">
      <c r="A195" s="78">
        <f t="shared" si="20"/>
        <v>45484</v>
      </c>
      <c r="B195" s="91">
        <v>29.908000000000001</v>
      </c>
      <c r="C195" s="92">
        <f t="shared" si="22"/>
        <v>1012.80092304</v>
      </c>
      <c r="D195" s="92">
        <v>70.599999999999994</v>
      </c>
      <c r="E195" s="92">
        <f>(C195-0.163*((D195-32)*5/9) + (0.5685 *((C195-0.163*((D195-32)*5/9)))/1000)) *EXP([5]Calc!$C$14/((M195+273.15)+((0.0065*64.6)/2)+(0.12*0.85*((6.112*EXP((17.67*M195)/(M195+243.5)))))))</f>
        <v>1017.4996449246954</v>
      </c>
      <c r="F195" s="93">
        <v>8</v>
      </c>
      <c r="G195" s="94">
        <v>10</v>
      </c>
      <c r="H195" s="32">
        <f t="shared" si="23"/>
        <v>7</v>
      </c>
      <c r="I195" s="84">
        <v>8</v>
      </c>
      <c r="J195" s="95">
        <v>2</v>
      </c>
      <c r="K195" s="84">
        <v>1</v>
      </c>
      <c r="L195" s="84">
        <v>0</v>
      </c>
      <c r="M195" s="96">
        <v>18.100000000000001</v>
      </c>
      <c r="N195" s="96">
        <v>13.8</v>
      </c>
      <c r="O195" s="93">
        <f t="shared" si="24"/>
        <v>59.393592508759653</v>
      </c>
      <c r="P195" s="96">
        <f t="shared" si="26"/>
        <v>10.068049856694882</v>
      </c>
      <c r="Q195" s="97">
        <v>17.8</v>
      </c>
      <c r="R195" s="96">
        <v>18.5</v>
      </c>
      <c r="S195" s="96">
        <v>16.8</v>
      </c>
      <c r="T195" s="96">
        <v>21.6</v>
      </c>
      <c r="U195" s="96">
        <v>11.6</v>
      </c>
      <c r="V195" s="96">
        <f t="shared" si="25"/>
        <v>16.600000000000001</v>
      </c>
      <c r="W195" s="96">
        <v>11.3</v>
      </c>
      <c r="X195" s="96">
        <v>11.7</v>
      </c>
      <c r="Y195" s="98" t="s">
        <v>22</v>
      </c>
      <c r="Z195" s="99">
        <v>6.6</v>
      </c>
    </row>
    <row r="196" spans="1:26">
      <c r="A196" s="78">
        <f t="shared" ref="A196:A259" si="27">A195+1</f>
        <v>45485</v>
      </c>
      <c r="B196" s="91">
        <v>29.858000000000001</v>
      </c>
      <c r="C196" s="92">
        <f t="shared" si="22"/>
        <v>1011.1077290400001</v>
      </c>
      <c r="D196" s="92">
        <v>70</v>
      </c>
      <c r="E196" s="92">
        <f>(C196-0.163*((D196-32)*5/9) + (0.5685 *((C196-0.163*((D196-32)*5/9)))/1000)) *EXP([5]Calc!$C$14/((M196+273.15)+((0.0065*64.6)/2)+(0.12*0.85*((6.112*EXP((17.67*M196)/(M196+243.5)))))))</f>
        <v>1015.9538844735495</v>
      </c>
      <c r="F196" s="93">
        <v>7</v>
      </c>
      <c r="G196" s="94">
        <v>8</v>
      </c>
      <c r="H196" s="32">
        <f t="shared" si="23"/>
        <v>5.6</v>
      </c>
      <c r="I196" s="84">
        <v>7</v>
      </c>
      <c r="J196" s="95">
        <v>60</v>
      </c>
      <c r="K196" s="84">
        <v>1</v>
      </c>
      <c r="L196" s="84">
        <v>0</v>
      </c>
      <c r="M196" s="96">
        <v>14.5</v>
      </c>
      <c r="N196" s="96">
        <v>11.9</v>
      </c>
      <c r="O196" s="93">
        <f t="shared" si="24"/>
        <v>71.779271936917738</v>
      </c>
      <c r="P196" s="96">
        <f t="shared" si="26"/>
        <v>9.4703829651360731</v>
      </c>
      <c r="Q196" s="97">
        <v>17.2</v>
      </c>
      <c r="R196" s="96">
        <v>19.100000000000001</v>
      </c>
      <c r="S196" s="96">
        <v>17</v>
      </c>
      <c r="T196" s="96">
        <v>18.2</v>
      </c>
      <c r="U196" s="96">
        <v>12.5</v>
      </c>
      <c r="V196" s="96">
        <f t="shared" si="25"/>
        <v>15.35</v>
      </c>
      <c r="W196" s="96">
        <v>10.5</v>
      </c>
      <c r="X196" s="96">
        <v>11.2</v>
      </c>
      <c r="Y196" s="98">
        <v>0.1</v>
      </c>
      <c r="Z196" s="99">
        <v>3.1</v>
      </c>
    </row>
    <row r="197" spans="1:26">
      <c r="A197" s="78">
        <f t="shared" si="27"/>
        <v>45486</v>
      </c>
      <c r="B197" s="91">
        <v>29.763999999999999</v>
      </c>
      <c r="C197" s="92">
        <f t="shared" si="22"/>
        <v>1007.92452432</v>
      </c>
      <c r="D197" s="92">
        <v>70.599999999999994</v>
      </c>
      <c r="E197" s="92">
        <f>(C197-0.163*((D197-32)*5/9) + (0.5685 *((C197-0.163*((D197-32)*5/9)))/1000)) *EXP([5]Calc!$C$14/((M197+273.15)+((0.0065*64.6)/2)+(0.12*0.85*((6.112*EXP((17.67*M197)/(M197+243.5)))))))</f>
        <v>1012.6572411796236</v>
      </c>
      <c r="F197" s="93">
        <v>8</v>
      </c>
      <c r="G197" s="94">
        <v>0</v>
      </c>
      <c r="H197" s="32">
        <f t="shared" si="23"/>
        <v>0</v>
      </c>
      <c r="I197" s="84">
        <v>8</v>
      </c>
      <c r="J197" s="95">
        <v>2</v>
      </c>
      <c r="K197" s="84">
        <v>1</v>
      </c>
      <c r="L197" s="84">
        <v>0</v>
      </c>
      <c r="M197" s="96">
        <v>15.6</v>
      </c>
      <c r="N197" s="96">
        <v>13.1</v>
      </c>
      <c r="O197" s="93">
        <f t="shared" si="24"/>
        <v>73.769015787537384</v>
      </c>
      <c r="P197" s="96">
        <f t="shared" si="26"/>
        <v>10.938573282544175</v>
      </c>
      <c r="Q197" s="97">
        <v>17.3</v>
      </c>
      <c r="R197" s="96">
        <v>18.899999999999999</v>
      </c>
      <c r="S197" s="96">
        <v>17</v>
      </c>
      <c r="T197" s="96">
        <v>19.2</v>
      </c>
      <c r="U197" s="96">
        <v>12.5</v>
      </c>
      <c r="V197" s="96">
        <f t="shared" si="25"/>
        <v>15.85</v>
      </c>
      <c r="W197" s="96">
        <v>12.1</v>
      </c>
      <c r="X197" s="96">
        <v>12.6</v>
      </c>
      <c r="Y197" s="98" t="s">
        <v>22</v>
      </c>
      <c r="Z197" s="99">
        <v>0.1</v>
      </c>
    </row>
    <row r="198" spans="1:26">
      <c r="A198" s="78">
        <f t="shared" si="27"/>
        <v>45487</v>
      </c>
      <c r="B198" s="91">
        <v>29.745999999999999</v>
      </c>
      <c r="C198" s="92">
        <f t="shared" si="22"/>
        <v>1007.31497448</v>
      </c>
      <c r="D198" s="92">
        <v>70.599999999999994</v>
      </c>
      <c r="E198" s="92">
        <f>(C198-0.163*((D198-32)*5/9) + (0.5685 *((C198-0.163*((D198-32)*5/9)))/1000)) *EXP([5]Calc!$C$14/((M198+273.15)+((0.0065*64.6)/2)+(0.12*0.85*((6.112*EXP((17.67*M198)/(M198+243.5)))))))</f>
        <v>1011.9632863131807</v>
      </c>
      <c r="F198" s="93">
        <v>4</v>
      </c>
      <c r="G198" s="94">
        <v>9</v>
      </c>
      <c r="H198" s="32">
        <f t="shared" si="23"/>
        <v>6.3</v>
      </c>
      <c r="I198" s="84">
        <v>8</v>
      </c>
      <c r="J198" s="95">
        <v>2</v>
      </c>
      <c r="K198" s="84">
        <v>1</v>
      </c>
      <c r="L198" s="84">
        <v>0</v>
      </c>
      <c r="M198" s="96">
        <v>18.3</v>
      </c>
      <c r="N198" s="96">
        <v>14.3</v>
      </c>
      <c r="O198" s="93">
        <f t="shared" si="24"/>
        <v>62.266782834774659</v>
      </c>
      <c r="P198" s="96">
        <f t="shared" si="26"/>
        <v>10.964933828258792</v>
      </c>
      <c r="Q198" s="97">
        <v>17.2</v>
      </c>
      <c r="R198" s="96">
        <v>18.5</v>
      </c>
      <c r="S198" s="96">
        <v>17</v>
      </c>
      <c r="T198" s="96">
        <v>22.2</v>
      </c>
      <c r="U198" s="96">
        <v>10.3</v>
      </c>
      <c r="V198" s="96">
        <f t="shared" si="25"/>
        <v>16.25</v>
      </c>
      <c r="W198" s="96">
        <v>7.2</v>
      </c>
      <c r="X198" s="96">
        <v>10.5</v>
      </c>
      <c r="Y198" s="98">
        <v>0</v>
      </c>
      <c r="Z198" s="99">
        <v>12.4</v>
      </c>
    </row>
    <row r="199" spans="1:26">
      <c r="A199" s="78">
        <f t="shared" si="27"/>
        <v>45488</v>
      </c>
      <c r="B199" s="91">
        <v>29.66</v>
      </c>
      <c r="C199" s="92">
        <f t="shared" si="22"/>
        <v>1004.4026808000001</v>
      </c>
      <c r="D199" s="92">
        <v>70.2</v>
      </c>
      <c r="E199" s="92">
        <f>(C199-0.163*((D199-32)*5/9) + (0.5685 *((C199-0.163*((D199-32)*5/9)))/1000)) *EXP([5]Calc!$C$14/((M199+273.15)+((0.0065*64.6)/2)+(0.12*0.85*((6.112*EXP((17.67*M199)/(M199+243.5)))))))</f>
        <v>1009.0931718054528</v>
      </c>
      <c r="F199" s="93">
        <v>8</v>
      </c>
      <c r="G199" s="94">
        <v>5</v>
      </c>
      <c r="H199" s="32">
        <f t="shared" si="23"/>
        <v>3.5</v>
      </c>
      <c r="I199" s="84">
        <v>8</v>
      </c>
      <c r="J199" s="95">
        <v>2</v>
      </c>
      <c r="K199" s="84">
        <v>0</v>
      </c>
      <c r="L199" s="84">
        <v>0</v>
      </c>
      <c r="M199" s="96">
        <v>17.3</v>
      </c>
      <c r="N199" s="96">
        <v>14.8</v>
      </c>
      <c r="O199" s="93">
        <f t="shared" si="24"/>
        <v>75.107474390088711</v>
      </c>
      <c r="P199" s="96">
        <f t="shared" si="26"/>
        <v>12.852104092196816</v>
      </c>
      <c r="Q199" s="97">
        <v>17.600000000000001</v>
      </c>
      <c r="R199" s="96">
        <v>18.5</v>
      </c>
      <c r="S199" s="96">
        <v>17</v>
      </c>
      <c r="T199" s="96">
        <v>19.2</v>
      </c>
      <c r="U199" s="96">
        <v>10</v>
      </c>
      <c r="V199" s="96">
        <f t="shared" si="25"/>
        <v>14.6</v>
      </c>
      <c r="W199" s="96">
        <v>8</v>
      </c>
      <c r="X199" s="96">
        <v>10.5</v>
      </c>
      <c r="Y199" s="98">
        <v>15.3</v>
      </c>
      <c r="Z199" s="99">
        <v>0.6</v>
      </c>
    </row>
    <row r="200" spans="1:26">
      <c r="A200" s="78">
        <f t="shared" si="27"/>
        <v>45489</v>
      </c>
      <c r="B200" s="91">
        <v>29.623999999999999</v>
      </c>
      <c r="C200" s="92">
        <f t="shared" si="22"/>
        <v>1003.18358112</v>
      </c>
      <c r="D200" s="92">
        <v>71</v>
      </c>
      <c r="E200" s="92">
        <f>(C200-0.163*((D200-32)*5/9) + (0.5685 *((C200-0.163*((D200-32)*5/9)))/1000)) *EXP([5]Calc!$C$14/((M200+273.15)+((0.0065*64.6)/2)+(0.12*0.85*((6.112*EXP((17.67*M200)/(M200+243.5)))))))</f>
        <v>1007.7998954810201</v>
      </c>
      <c r="F200" s="93">
        <v>7</v>
      </c>
      <c r="G200" s="94">
        <v>9</v>
      </c>
      <c r="H200" s="32">
        <f t="shared" si="23"/>
        <v>6.3</v>
      </c>
      <c r="I200" s="84">
        <v>8</v>
      </c>
      <c r="J200" s="95">
        <v>2</v>
      </c>
      <c r="K200" s="84">
        <v>1</v>
      </c>
      <c r="L200" s="84">
        <v>0</v>
      </c>
      <c r="M200" s="96">
        <v>17</v>
      </c>
      <c r="N200" s="96">
        <v>14.9</v>
      </c>
      <c r="O200" s="93">
        <f t="shared" si="24"/>
        <v>78.762578638972798</v>
      </c>
      <c r="P200" s="96">
        <f t="shared" si="26"/>
        <v>13.288421617018315</v>
      </c>
      <c r="Q200" s="97">
        <v>17.399999999999999</v>
      </c>
      <c r="R200" s="96">
        <v>18.3</v>
      </c>
      <c r="S200" s="96">
        <v>17.100000000000001</v>
      </c>
      <c r="T200" s="96">
        <v>21.6</v>
      </c>
      <c r="U200" s="96">
        <v>12.8</v>
      </c>
      <c r="V200" s="96">
        <f t="shared" si="25"/>
        <v>17.200000000000003</v>
      </c>
      <c r="W200" s="96">
        <v>13</v>
      </c>
      <c r="X200" s="96">
        <v>12.8</v>
      </c>
      <c r="Y200" s="98">
        <v>1</v>
      </c>
      <c r="Z200" s="99">
        <v>2.9</v>
      </c>
    </row>
    <row r="201" spans="1:26">
      <c r="A201" s="78">
        <f t="shared" si="27"/>
        <v>45490</v>
      </c>
      <c r="B201" s="91">
        <v>29.988</v>
      </c>
      <c r="C201" s="92">
        <f t="shared" si="22"/>
        <v>1015.51003344</v>
      </c>
      <c r="D201" s="92">
        <v>70.8</v>
      </c>
      <c r="E201" s="92">
        <f>(C201-0.163*((D201-32)*5/9) + (0.5685 *((C201-0.163*((D201-32)*5/9)))/1000)) *EXP([5]Calc!$C$14/((M201+273.15)+((0.0065*64.6)/2)+(0.12*0.85*((6.112*EXP((17.67*M201)/(M201+243.5)))))))</f>
        <v>1020.185864320834</v>
      </c>
      <c r="F201" s="93">
        <v>1</v>
      </c>
      <c r="G201" s="94">
        <v>0</v>
      </c>
      <c r="H201" s="32">
        <f t="shared" si="23"/>
        <v>0</v>
      </c>
      <c r="I201" s="84">
        <v>8</v>
      </c>
      <c r="J201" s="95">
        <v>2</v>
      </c>
      <c r="K201" s="84">
        <v>1</v>
      </c>
      <c r="L201" s="84">
        <v>0</v>
      </c>
      <c r="M201" s="96">
        <v>19</v>
      </c>
      <c r="N201" s="96">
        <v>16.100000000000001</v>
      </c>
      <c r="O201" s="93">
        <f t="shared" si="24"/>
        <v>72.703463300892508</v>
      </c>
      <c r="P201" s="96">
        <f t="shared" si="26"/>
        <v>13.992159877321583</v>
      </c>
      <c r="Q201" s="97">
        <v>17.899999999999999</v>
      </c>
      <c r="R201" s="96">
        <v>18.399999999999999</v>
      </c>
      <c r="S201" s="96">
        <v>17.100000000000001</v>
      </c>
      <c r="T201" s="96">
        <v>23.5</v>
      </c>
      <c r="U201" s="96">
        <v>11.9</v>
      </c>
      <c r="V201" s="96">
        <f t="shared" si="25"/>
        <v>17.7</v>
      </c>
      <c r="W201" s="96">
        <v>9.5</v>
      </c>
      <c r="X201" s="96">
        <v>11.5</v>
      </c>
      <c r="Y201" s="98" t="s">
        <v>22</v>
      </c>
      <c r="Z201" s="99">
        <v>8</v>
      </c>
    </row>
    <row r="202" spans="1:26">
      <c r="A202" s="78">
        <f t="shared" si="27"/>
        <v>45491</v>
      </c>
      <c r="B202" s="91">
        <v>29.986000000000001</v>
      </c>
      <c r="C202" s="92">
        <f t="shared" si="22"/>
        <v>1015.4423056800001</v>
      </c>
      <c r="D202" s="92">
        <v>72.599999999999994</v>
      </c>
      <c r="E202" s="92">
        <f>(C202-0.163*((D202-32)*5/9) + (0.5685 *((C202-0.163*((D202-32)*5/9)))/1000)) *EXP([5]Calc!$C$14/((M202+273.15)+((0.0065*64.6)/2)+(0.12*0.85*((6.112*EXP((17.67*M202)/(M202+243.5)))))))</f>
        <v>1019.9207659282754</v>
      </c>
      <c r="F202" s="93">
        <v>1</v>
      </c>
      <c r="G202" s="94">
        <v>0</v>
      </c>
      <c r="H202" s="32">
        <f t="shared" si="23"/>
        <v>0</v>
      </c>
      <c r="I202" s="84">
        <v>8</v>
      </c>
      <c r="J202" s="95">
        <v>2</v>
      </c>
      <c r="K202" s="84">
        <v>1</v>
      </c>
      <c r="L202" s="84">
        <v>0</v>
      </c>
      <c r="M202" s="96">
        <v>20.100000000000001</v>
      </c>
      <c r="N202" s="96">
        <v>15.3</v>
      </c>
      <c r="O202" s="93">
        <f t="shared" si="24"/>
        <v>57.549034697148393</v>
      </c>
      <c r="P202" s="96">
        <f t="shared" si="26"/>
        <v>11.469110759735438</v>
      </c>
      <c r="Q202" s="97">
        <v>17.100000000000001</v>
      </c>
      <c r="R202" s="96">
        <v>19.399999999999999</v>
      </c>
      <c r="S202" s="96">
        <v>17.100000000000001</v>
      </c>
      <c r="T202" s="96">
        <v>27.3</v>
      </c>
      <c r="U202" s="96">
        <v>13.6</v>
      </c>
      <c r="V202" s="96">
        <f>AVERAGE(T202:U202)</f>
        <v>20.45</v>
      </c>
      <c r="W202" s="96">
        <v>13.2</v>
      </c>
      <c r="X202" s="96">
        <v>14.2</v>
      </c>
      <c r="Y202" s="98">
        <v>0</v>
      </c>
      <c r="Z202" s="99">
        <v>9.8000000000000007</v>
      </c>
    </row>
    <row r="203" spans="1:26">
      <c r="A203" s="78">
        <f t="shared" si="27"/>
        <v>45492</v>
      </c>
      <c r="B203" s="91">
        <v>29.85</v>
      </c>
      <c r="C203" s="92">
        <f t="shared" si="22"/>
        <v>1010.8368180000001</v>
      </c>
      <c r="D203" s="92">
        <v>73.2</v>
      </c>
      <c r="E203" s="92">
        <f>(C203-0.163*((D203-32)*5/9) + (0.5685 *((C203-0.163*((D203-32)*5/9)))/1000)) *EXP([5]Calc!$C$14/((M203+273.15)+((0.0065*64.6)/2)+(0.12*0.85*((6.112*EXP((17.67*M203)/(M203+243.5)))))))</f>
        <v>1015.1029547252455</v>
      </c>
      <c r="F203" s="93">
        <v>1</v>
      </c>
      <c r="G203" s="94">
        <v>0</v>
      </c>
      <c r="H203" s="32">
        <f t="shared" si="23"/>
        <v>0</v>
      </c>
      <c r="I203" s="84">
        <v>8</v>
      </c>
      <c r="J203" s="95">
        <v>2</v>
      </c>
      <c r="K203" s="84">
        <v>1</v>
      </c>
      <c r="L203" s="84">
        <v>0</v>
      </c>
      <c r="M203" s="96">
        <v>24.2</v>
      </c>
      <c r="N203" s="96">
        <v>18.5</v>
      </c>
      <c r="O203" s="93">
        <f t="shared" si="24"/>
        <v>55.389197214602426</v>
      </c>
      <c r="P203" s="96">
        <f t="shared" si="26"/>
        <v>14.708954363205615</v>
      </c>
      <c r="Q203" s="97">
        <v>20.399999999999999</v>
      </c>
      <c r="R203" s="96">
        <v>20.2</v>
      </c>
      <c r="S203" s="96">
        <v>17.2</v>
      </c>
      <c r="T203" s="96">
        <v>29.3</v>
      </c>
      <c r="U203" s="96">
        <v>15.2</v>
      </c>
      <c r="V203" s="96">
        <f t="shared" si="25"/>
        <v>22.25</v>
      </c>
      <c r="W203" s="96">
        <v>13.4</v>
      </c>
      <c r="X203" s="96">
        <v>14.5</v>
      </c>
      <c r="Y203" s="98">
        <v>0</v>
      </c>
      <c r="Z203" s="99">
        <v>12.5</v>
      </c>
    </row>
    <row r="204" spans="1:26">
      <c r="A204" s="78">
        <f t="shared" si="27"/>
        <v>45493</v>
      </c>
      <c r="B204" s="91">
        <v>29.59</v>
      </c>
      <c r="C204" s="92">
        <f t="shared" si="22"/>
        <v>1002.0322092</v>
      </c>
      <c r="D204" s="92">
        <v>74.599999999999994</v>
      </c>
      <c r="E204" s="92">
        <f>(C204-0.163*((D204-32)*5/9) + (0.5685 *((C204-0.163*((D204-32)*5/9)))/1000)) *EXP([5]Calc!$C$14/((M204+273.15)+((0.0065*64.6)/2)+(0.12*0.85*((6.112*EXP((17.67*M204)/(M204+243.5)))))))</f>
        <v>1006.2374977925107</v>
      </c>
      <c r="F204" s="93">
        <v>8</v>
      </c>
      <c r="G204" s="94">
        <v>4</v>
      </c>
      <c r="H204" s="32">
        <f t="shared" si="23"/>
        <v>2.8</v>
      </c>
      <c r="I204" s="84">
        <v>8</v>
      </c>
      <c r="J204" s="95">
        <v>2</v>
      </c>
      <c r="K204" s="84">
        <v>1</v>
      </c>
      <c r="L204" s="84">
        <v>0</v>
      </c>
      <c r="M204" s="96">
        <v>19.5</v>
      </c>
      <c r="N204" s="96">
        <v>17.2</v>
      </c>
      <c r="O204" s="93">
        <f t="shared" si="24"/>
        <v>78.438144526695083</v>
      </c>
      <c r="P204" s="96">
        <f t="shared" si="26"/>
        <v>15.65291278686656</v>
      </c>
      <c r="Q204" s="97">
        <v>21.4</v>
      </c>
      <c r="R204" s="96">
        <v>21.3</v>
      </c>
      <c r="S204" s="96">
        <v>17.5</v>
      </c>
      <c r="T204" s="96">
        <v>22.1</v>
      </c>
      <c r="U204" s="96">
        <v>16.600000000000001</v>
      </c>
      <c r="V204" s="96">
        <f t="shared" si="25"/>
        <v>19.350000000000001</v>
      </c>
      <c r="W204" s="96">
        <v>17.5</v>
      </c>
      <c r="X204" s="96">
        <v>16.899999999999999</v>
      </c>
      <c r="Y204" s="98" t="s">
        <v>22</v>
      </c>
      <c r="Z204" s="99">
        <v>0.1</v>
      </c>
    </row>
    <row r="205" spans="1:26">
      <c r="A205" s="78">
        <f t="shared" si="27"/>
        <v>45494</v>
      </c>
      <c r="B205" s="91">
        <v>29.65</v>
      </c>
      <c r="C205" s="92">
        <f t="shared" si="22"/>
        <v>1004.064042</v>
      </c>
      <c r="D205" s="92">
        <v>73.2</v>
      </c>
      <c r="E205" s="92">
        <f>(C205-0.163*((D205-32)*5/9) + (0.5685 *((C205-0.163*((D205-32)*5/9)))/1000)) *EXP([5]Calc!$C$14/((M205+273.15)+((0.0065*64.6)/2)+(0.12*0.85*((6.112*EXP((17.67*M205)/(M205+243.5)))))))</f>
        <v>1008.4544765508206</v>
      </c>
      <c r="F205" s="93">
        <v>6</v>
      </c>
      <c r="G205" s="94">
        <v>4</v>
      </c>
      <c r="H205" s="32">
        <f t="shared" si="23"/>
        <v>2.8</v>
      </c>
      <c r="I205" s="84">
        <v>8</v>
      </c>
      <c r="J205" s="95">
        <v>2</v>
      </c>
      <c r="K205" s="84">
        <v>1</v>
      </c>
      <c r="L205" s="84">
        <v>0</v>
      </c>
      <c r="M205" s="96">
        <v>18.100000000000001</v>
      </c>
      <c r="N205" s="96">
        <v>14.5</v>
      </c>
      <c r="O205" s="93">
        <f t="shared" si="24"/>
        <v>65.617665674785712</v>
      </c>
      <c r="P205" s="96">
        <f t="shared" si="26"/>
        <v>11.566100703219471</v>
      </c>
      <c r="Q205" s="97">
        <v>20</v>
      </c>
      <c r="R205" s="96">
        <v>20.8</v>
      </c>
      <c r="S205" s="96">
        <v>17.600000000000001</v>
      </c>
      <c r="T205" s="96">
        <v>22.4</v>
      </c>
      <c r="U205" s="96">
        <v>15.6</v>
      </c>
      <c r="V205" s="96">
        <f t="shared" si="25"/>
        <v>19</v>
      </c>
      <c r="W205" s="96">
        <v>16.600000000000001</v>
      </c>
      <c r="X205" s="96">
        <v>14.7</v>
      </c>
      <c r="Y205" s="98">
        <v>0.1</v>
      </c>
      <c r="Z205" s="99">
        <v>6.7</v>
      </c>
    </row>
    <row r="206" spans="1:26">
      <c r="A206" s="78">
        <f t="shared" si="27"/>
        <v>45495</v>
      </c>
      <c r="B206" s="91">
        <v>29.79</v>
      </c>
      <c r="C206" s="92">
        <f t="shared" si="22"/>
        <v>1008.8049852</v>
      </c>
      <c r="D206" s="92">
        <v>73</v>
      </c>
      <c r="E206" s="92">
        <f>(C206-0.163*((D206-32)*5/9) + (0.5685 *((C206-0.163*((D206-32)*5/9)))/1000)) *EXP([5]Calc!$C$14/((M206+273.15)+((0.0065*64.6)/2)+(0.12*0.85*((6.112*EXP((17.67*M206)/(M206+243.5)))))))</f>
        <v>1013.2110415083184</v>
      </c>
      <c r="F206" s="93">
        <v>8</v>
      </c>
      <c r="G206" s="94">
        <v>10</v>
      </c>
      <c r="H206" s="32">
        <f t="shared" si="23"/>
        <v>7</v>
      </c>
      <c r="I206" s="84">
        <v>8</v>
      </c>
      <c r="J206" s="95">
        <v>50</v>
      </c>
      <c r="K206" s="84">
        <v>1</v>
      </c>
      <c r="L206" s="84">
        <v>0</v>
      </c>
      <c r="M206" s="96">
        <v>19.5</v>
      </c>
      <c r="N206" s="96">
        <v>17.399999999999999</v>
      </c>
      <c r="O206" s="93">
        <f t="shared" si="24"/>
        <v>80.246476689986295</v>
      </c>
      <c r="P206" s="96">
        <f t="shared" si="26"/>
        <v>16.009171466698131</v>
      </c>
      <c r="Q206" s="97">
        <v>19.5</v>
      </c>
      <c r="R206" s="96">
        <v>20.3</v>
      </c>
      <c r="S206" s="96">
        <v>17.7</v>
      </c>
      <c r="T206" s="96">
        <v>24.2</v>
      </c>
      <c r="U206" s="96">
        <v>13.3</v>
      </c>
      <c r="V206" s="96">
        <f t="shared" si="25"/>
        <v>18.75</v>
      </c>
      <c r="W206" s="96">
        <v>12.5</v>
      </c>
      <c r="X206" s="96">
        <v>13.9</v>
      </c>
      <c r="Y206" s="98">
        <v>0.15</v>
      </c>
      <c r="Z206" s="99">
        <v>7.8</v>
      </c>
    </row>
    <row r="207" spans="1:26">
      <c r="A207" s="78">
        <f t="shared" si="27"/>
        <v>45496</v>
      </c>
      <c r="B207" s="91">
        <v>29.878</v>
      </c>
      <c r="C207" s="92">
        <f t="shared" si="22"/>
        <v>1011.78500664</v>
      </c>
      <c r="D207" s="92">
        <v>74.2</v>
      </c>
      <c r="E207" s="92">
        <f>(C207-0.163*((D207-32)*5/9) + (0.5685 *((C207-0.163*((D207-32)*5/9)))/1000)) *EXP([5]Calc!$C$14/((M207+273.15)+((0.0065*64.6)/2)+(0.12*0.85*((6.112*EXP((17.67*M207)/(M207+243.5)))))))</f>
        <v>1016.1556807734067</v>
      </c>
      <c r="F207" s="93">
        <v>8</v>
      </c>
      <c r="G207" s="94">
        <v>8</v>
      </c>
      <c r="H207" s="32">
        <f t="shared" si="23"/>
        <v>5.6</v>
      </c>
      <c r="I207" s="84">
        <v>8</v>
      </c>
      <c r="J207" s="95">
        <v>2</v>
      </c>
      <c r="K207" s="84">
        <v>1</v>
      </c>
      <c r="L207" s="84">
        <v>0</v>
      </c>
      <c r="M207" s="96">
        <v>17.8</v>
      </c>
      <c r="N207" s="96">
        <v>16.3</v>
      </c>
      <c r="O207" s="93">
        <f t="shared" si="24"/>
        <v>85.039156360247276</v>
      </c>
      <c r="P207" s="96">
        <f t="shared" si="26"/>
        <v>15.25339594602727</v>
      </c>
      <c r="Q207" s="97">
        <v>20.5</v>
      </c>
      <c r="R207" s="96">
        <v>20.6</v>
      </c>
      <c r="S207" s="96">
        <v>17.899999999999999</v>
      </c>
      <c r="T207" s="96">
        <v>23.9</v>
      </c>
      <c r="U207" s="96">
        <v>16</v>
      </c>
      <c r="V207" s="96">
        <f t="shared" si="25"/>
        <v>19.95</v>
      </c>
      <c r="W207" s="96">
        <v>16.3</v>
      </c>
      <c r="X207" s="96">
        <v>16.3</v>
      </c>
      <c r="Y207" s="98">
        <v>0</v>
      </c>
      <c r="Z207" s="99">
        <v>3.3</v>
      </c>
    </row>
    <row r="208" spans="1:26">
      <c r="A208" s="78">
        <f t="shared" si="27"/>
        <v>45497</v>
      </c>
      <c r="B208" s="91">
        <v>30.033999999999999</v>
      </c>
      <c r="C208" s="92">
        <f t="shared" si="22"/>
        <v>1017.06777192</v>
      </c>
      <c r="D208" s="92">
        <v>73.8</v>
      </c>
      <c r="E208" s="92">
        <f>(C208-0.163*((D208-32)*5/9) + (0.5685 *((C208-0.163*((D208-32)*5/9)))/1000)) *EXP([5]Calc!$C$14/((M208+273.15)+((0.0065*64.6)/2)+(0.12*0.85*((6.112*EXP((17.67*M208)/(M208+243.5)))))))</f>
        <v>1021.4853044180957</v>
      </c>
      <c r="F208" s="93">
        <v>1</v>
      </c>
      <c r="G208" s="94">
        <v>7</v>
      </c>
      <c r="H208" s="32">
        <f t="shared" si="23"/>
        <v>4.8999999999999995</v>
      </c>
      <c r="I208" s="84">
        <v>8</v>
      </c>
      <c r="J208" s="95">
        <v>2</v>
      </c>
      <c r="K208" s="84">
        <v>1</v>
      </c>
      <c r="L208" s="84">
        <v>0</v>
      </c>
      <c r="M208" s="96">
        <v>18.899999999999999</v>
      </c>
      <c r="N208" s="96">
        <v>16.600000000000001</v>
      </c>
      <c r="O208" s="93">
        <f t="shared" si="24"/>
        <v>78.071134810161652</v>
      </c>
      <c r="P208" s="96">
        <f t="shared" si="26"/>
        <v>14.997461814014631</v>
      </c>
      <c r="Q208" s="97">
        <v>20.5</v>
      </c>
      <c r="R208" s="96">
        <v>20.5</v>
      </c>
      <c r="S208" s="96">
        <v>18.2</v>
      </c>
      <c r="T208" s="96">
        <v>22.4</v>
      </c>
      <c r="U208" s="96">
        <v>14.2</v>
      </c>
      <c r="V208" s="96">
        <f t="shared" si="25"/>
        <v>18.299999999999997</v>
      </c>
      <c r="W208" s="96">
        <v>12.2</v>
      </c>
      <c r="X208" s="96">
        <v>14.9</v>
      </c>
      <c r="Y208" s="98">
        <v>0.35</v>
      </c>
      <c r="Z208" s="99">
        <v>5.4</v>
      </c>
    </row>
    <row r="209" spans="1:26">
      <c r="A209" s="78">
        <f t="shared" si="27"/>
        <v>45498</v>
      </c>
      <c r="B209" s="91">
        <v>29.722000000000001</v>
      </c>
      <c r="C209" s="92">
        <f t="shared" si="22"/>
        <v>1006.5022413600001</v>
      </c>
      <c r="D209" s="92">
        <v>72.8</v>
      </c>
      <c r="E209" s="92">
        <f>(C209-0.163*((D209-32)*5/9) + (0.5685 *((C209-0.163*((D209-32)*5/9)))/1000)) *EXP([5]Calc!$C$14/((M209+273.15)+((0.0065*64.6)/2)+(0.12*0.85*((6.112*EXP((17.67*M209)/(M209+243.5)))))))</f>
        <v>1010.9313938030599</v>
      </c>
      <c r="F209" s="93">
        <v>8</v>
      </c>
      <c r="G209" s="94">
        <v>14</v>
      </c>
      <c r="H209" s="32">
        <f t="shared" si="23"/>
        <v>9.7999999999999989</v>
      </c>
      <c r="I209" s="84">
        <v>8</v>
      </c>
      <c r="J209" s="95">
        <v>2</v>
      </c>
      <c r="K209" s="84">
        <v>1</v>
      </c>
      <c r="L209" s="84">
        <v>0</v>
      </c>
      <c r="M209" s="96">
        <v>18.7</v>
      </c>
      <c r="N209" s="96">
        <v>17.100000000000001</v>
      </c>
      <c r="O209" s="93">
        <f t="shared" si="24"/>
        <v>84.476727084536151</v>
      </c>
      <c r="P209" s="96">
        <f t="shared" si="26"/>
        <v>16.031986765168977</v>
      </c>
      <c r="Q209" s="97">
        <v>20.100000000000001</v>
      </c>
      <c r="R209" s="96">
        <v>20.399999999999999</v>
      </c>
      <c r="S209" s="96">
        <v>18.2</v>
      </c>
      <c r="T209" s="96">
        <v>21.9</v>
      </c>
      <c r="U209" s="96">
        <v>14.2</v>
      </c>
      <c r="V209" s="96">
        <f t="shared" si="25"/>
        <v>18.049999999999997</v>
      </c>
      <c r="W209" s="96">
        <v>16.399999999999999</v>
      </c>
      <c r="X209" s="96">
        <v>15.8</v>
      </c>
      <c r="Y209" s="98">
        <v>2.1</v>
      </c>
      <c r="Z209" s="99">
        <v>0</v>
      </c>
    </row>
    <row r="210" spans="1:26">
      <c r="A210" s="78">
        <f t="shared" si="27"/>
        <v>45499</v>
      </c>
      <c r="B210" s="91">
        <v>29.72</v>
      </c>
      <c r="C210" s="92">
        <f t="shared" si="22"/>
        <v>1006.4345136000001</v>
      </c>
      <c r="D210" s="92">
        <v>72.8</v>
      </c>
      <c r="E210" s="92">
        <f>(C210-0.163*((D210-32)*5/9) + (0.5685 *((C210-0.163*((D210-32)*5/9)))/1000)) *EXP([5]Calc!$C$14/((M210+273.15)+((0.0065*64.6)/2)+(0.12*0.85*((6.112*EXP((17.67*M210)/(M210+243.5)))))))</f>
        <v>1010.8426080918094</v>
      </c>
      <c r="F210" s="93">
        <v>5</v>
      </c>
      <c r="G210" s="94">
        <v>3</v>
      </c>
      <c r="H210" s="32">
        <f t="shared" si="23"/>
        <v>2.0999999999999996</v>
      </c>
      <c r="I210" s="84">
        <v>8</v>
      </c>
      <c r="J210" s="95">
        <v>2</v>
      </c>
      <c r="K210" s="84">
        <v>1</v>
      </c>
      <c r="L210" s="84">
        <v>0</v>
      </c>
      <c r="M210" s="96">
        <v>19.399999999999999</v>
      </c>
      <c r="N210" s="96">
        <v>15.4</v>
      </c>
      <c r="O210" s="93">
        <f t="shared" si="24"/>
        <v>63.444992566216044</v>
      </c>
      <c r="P210" s="96">
        <f t="shared" si="26"/>
        <v>12.288765688507915</v>
      </c>
      <c r="Q210" s="97">
        <v>18.5</v>
      </c>
      <c r="R210" s="96">
        <v>19.8</v>
      </c>
      <c r="S210" s="96">
        <v>18.399999999999999</v>
      </c>
      <c r="T210" s="96">
        <v>22.6</v>
      </c>
      <c r="U210" s="96">
        <v>11.8</v>
      </c>
      <c r="V210" s="96">
        <f t="shared" si="25"/>
        <v>17.200000000000003</v>
      </c>
      <c r="W210" s="96">
        <v>12.5</v>
      </c>
      <c r="X210" s="96">
        <v>11.6</v>
      </c>
      <c r="Y210" s="98">
        <v>0</v>
      </c>
      <c r="Z210" s="99">
        <v>14</v>
      </c>
    </row>
    <row r="211" spans="1:26">
      <c r="A211" s="78">
        <f t="shared" si="27"/>
        <v>45500</v>
      </c>
      <c r="B211" s="91">
        <v>29.826000000000001</v>
      </c>
      <c r="C211" s="92">
        <f t="shared" si="22"/>
        <v>1010.02408488</v>
      </c>
      <c r="D211" s="92">
        <v>72.5</v>
      </c>
      <c r="E211" s="92">
        <f>(C211-0.163*((D211-32)*5/9) + (0.5685 *((C211-0.163*((D211-32)*5/9)))/1000)) *EXP([5]Calc!$C$14/((M211+273.15)+((0.0065*64.6)/2)+(0.12*0.85*((6.112*EXP((17.67*M211)/(M211+243.5)))))))</f>
        <v>1014.5150385579149</v>
      </c>
      <c r="F211" s="93">
        <v>2</v>
      </c>
      <c r="G211" s="94">
        <v>6</v>
      </c>
      <c r="H211" s="32">
        <f t="shared" si="23"/>
        <v>4.1999999999999993</v>
      </c>
      <c r="I211" s="84">
        <v>8</v>
      </c>
      <c r="J211" s="95">
        <v>2</v>
      </c>
      <c r="K211" s="84">
        <v>1</v>
      </c>
      <c r="L211" s="84">
        <v>0</v>
      </c>
      <c r="M211" s="96">
        <v>18.5</v>
      </c>
      <c r="N211" s="96">
        <v>14.2</v>
      </c>
      <c r="O211" s="93">
        <f t="shared" si="24"/>
        <v>59.868850260716897</v>
      </c>
      <c r="P211" s="96">
        <f t="shared" si="26"/>
        <v>10.563356134993919</v>
      </c>
      <c r="Q211" s="97">
        <v>19.399999999999999</v>
      </c>
      <c r="R211" s="96">
        <v>20</v>
      </c>
      <c r="S211" s="96">
        <v>18.2</v>
      </c>
      <c r="T211" s="96">
        <v>22.2</v>
      </c>
      <c r="U211" s="96">
        <v>11.4</v>
      </c>
      <c r="V211" s="96">
        <f t="shared" si="25"/>
        <v>16.8</v>
      </c>
      <c r="W211" s="96">
        <v>11.1</v>
      </c>
      <c r="X211" s="96">
        <v>11.5</v>
      </c>
      <c r="Y211" s="98">
        <v>0</v>
      </c>
      <c r="Z211" s="99">
        <v>10.3</v>
      </c>
    </row>
    <row r="212" spans="1:26">
      <c r="A212" s="78">
        <f t="shared" si="27"/>
        <v>45501</v>
      </c>
      <c r="B212" s="91">
        <v>30.155999999999999</v>
      </c>
      <c r="C212" s="92">
        <f t="shared" si="22"/>
        <v>1021.19916528</v>
      </c>
      <c r="D212" s="92">
        <v>72.400000000000006</v>
      </c>
      <c r="E212" s="92">
        <f>(C212-0.163*((D212-32)*5/9) + (0.5685 *((C212-0.163*((D212-32)*5/9)))/1000)) *EXP([5]Calc!$C$14/((M212+273.15)+((0.0065*64.6)/2)+(0.12*0.85*((6.112*EXP((17.67*M212)/(M212+243.5)))))))</f>
        <v>1025.7274350039779</v>
      </c>
      <c r="F212" s="93">
        <v>0</v>
      </c>
      <c r="G212" s="94">
        <v>6</v>
      </c>
      <c r="H212" s="32">
        <f t="shared" si="23"/>
        <v>4.1999999999999993</v>
      </c>
      <c r="I212" s="84">
        <v>8</v>
      </c>
      <c r="J212" s="95">
        <v>2</v>
      </c>
      <c r="K212" s="84">
        <v>1</v>
      </c>
      <c r="L212" s="84">
        <v>0</v>
      </c>
      <c r="M212" s="96">
        <v>20.6</v>
      </c>
      <c r="N212" s="96">
        <v>15.5</v>
      </c>
      <c r="O212" s="93">
        <f t="shared" si="24"/>
        <v>55.733787393036948</v>
      </c>
      <c r="P212" s="96">
        <f t="shared" si="26"/>
        <v>11.451760032155363</v>
      </c>
      <c r="Q212" s="97">
        <v>19.5</v>
      </c>
      <c r="R212" s="96">
        <v>19.8</v>
      </c>
      <c r="S212" s="96">
        <v>18.2</v>
      </c>
      <c r="T212" s="96">
        <v>25.6</v>
      </c>
      <c r="U212" s="96">
        <v>11.5</v>
      </c>
      <c r="V212" s="96">
        <f t="shared" si="25"/>
        <v>18.55</v>
      </c>
      <c r="W212" s="96">
        <v>7.8</v>
      </c>
      <c r="X212" s="96">
        <v>11.2</v>
      </c>
      <c r="Y212" s="98">
        <v>0</v>
      </c>
      <c r="Z212" s="99">
        <f>9.5+AB212</f>
        <v>9.5</v>
      </c>
    </row>
    <row r="213" spans="1:26">
      <c r="A213" s="78">
        <f t="shared" si="27"/>
        <v>45502</v>
      </c>
      <c r="B213" s="91">
        <v>30.052</v>
      </c>
      <c r="C213" s="92">
        <f t="shared" si="22"/>
        <v>1017.67732176</v>
      </c>
      <c r="D213" s="92">
        <v>72.400000000000006</v>
      </c>
      <c r="E213" s="92">
        <f>(C213-0.163*((D213-32)*5/9) + (0.5685 *((C213-0.163*((D213-32)*5/9)))/1000)) *EXP([5]Calc!$C$14/((M213+273.15)+((0.0065*64.6)/2)+(0.12*0.85*((6.112*EXP((17.67*M213)/(M213+243.5)))))))</f>
        <v>1022.0737529566015</v>
      </c>
      <c r="F213" s="93">
        <v>1</v>
      </c>
      <c r="G213" s="94">
        <v>4</v>
      </c>
      <c r="H213" s="32">
        <f t="shared" si="23"/>
        <v>2.8</v>
      </c>
      <c r="I213" s="84">
        <v>8</v>
      </c>
      <c r="J213" s="95">
        <v>2</v>
      </c>
      <c r="K213" s="84">
        <v>1</v>
      </c>
      <c r="L213" s="84">
        <v>0</v>
      </c>
      <c r="M213" s="96">
        <v>24.1</v>
      </c>
      <c r="N213" s="96">
        <v>18.100000000000001</v>
      </c>
      <c r="O213" s="93">
        <f t="shared" si="24"/>
        <v>53.164624402850272</v>
      </c>
      <c r="P213" s="96">
        <f t="shared" si="26"/>
        <v>13.982749127746333</v>
      </c>
      <c r="Q213" s="97">
        <v>24.2</v>
      </c>
      <c r="R213" s="96">
        <v>19.899999999999999</v>
      </c>
      <c r="S213" s="96">
        <v>18.3</v>
      </c>
      <c r="T213" s="96">
        <v>28.3</v>
      </c>
      <c r="U213" s="96">
        <v>15.1</v>
      </c>
      <c r="V213" s="96">
        <f t="shared" si="25"/>
        <v>21.7</v>
      </c>
      <c r="W213" s="96">
        <v>7.6</v>
      </c>
      <c r="X213" s="96">
        <v>11.5</v>
      </c>
      <c r="Y213" s="98">
        <v>0</v>
      </c>
      <c r="Z213" s="99">
        <f>8+AB213</f>
        <v>8</v>
      </c>
    </row>
    <row r="214" spans="1:26">
      <c r="A214" s="78">
        <f t="shared" si="27"/>
        <v>45503</v>
      </c>
      <c r="B214" s="91">
        <v>29.93</v>
      </c>
      <c r="C214" s="92">
        <f t="shared" si="22"/>
        <v>1013.5459284000001</v>
      </c>
      <c r="D214" s="92">
        <v>74.7</v>
      </c>
      <c r="E214" s="92">
        <f>(C214-0.163*((D214-32)*5/9) + (0.5685 *((C214-0.163*((D214-32)*5/9)))/1000)) *EXP([5]Calc!$C$14/((M214+273.15)+((0.0065*64.6)/2)+(0.12*0.85*((6.112*EXP((17.67*M214)/(M214+243.5)))))))</f>
        <v>1017.678996599013</v>
      </c>
      <c r="F214" s="93">
        <v>2</v>
      </c>
      <c r="G214" s="94">
        <v>1</v>
      </c>
      <c r="H214" s="32">
        <f t="shared" si="23"/>
        <v>0.7</v>
      </c>
      <c r="I214" s="84">
        <v>8</v>
      </c>
      <c r="J214" s="95">
        <v>2</v>
      </c>
      <c r="K214" s="84">
        <v>1</v>
      </c>
      <c r="L214" s="84">
        <v>0</v>
      </c>
      <c r="M214" s="96">
        <v>24.8</v>
      </c>
      <c r="N214" s="96">
        <v>19.399999999999999</v>
      </c>
      <c r="O214" s="93">
        <f t="shared" si="24"/>
        <v>58.13310800298305</v>
      </c>
      <c r="P214" s="96">
        <f t="shared" si="26"/>
        <v>16.021778369821376</v>
      </c>
      <c r="Q214" s="97">
        <v>23.1</v>
      </c>
      <c r="R214" s="96">
        <v>20.7</v>
      </c>
      <c r="S214" s="96">
        <v>18.399999999999999</v>
      </c>
      <c r="T214" s="96">
        <v>29.7</v>
      </c>
      <c r="U214" s="96">
        <v>17.100000000000001</v>
      </c>
      <c r="V214" s="96">
        <f t="shared" si="25"/>
        <v>23.4</v>
      </c>
      <c r="W214" s="96">
        <v>11.8</v>
      </c>
      <c r="X214" s="96">
        <v>15.2</v>
      </c>
      <c r="Y214" s="98">
        <v>0</v>
      </c>
      <c r="Z214" s="99">
        <v>12.8</v>
      </c>
    </row>
    <row r="215" spans="1:26">
      <c r="A215" s="78">
        <f t="shared" si="27"/>
        <v>45504</v>
      </c>
      <c r="B215" s="91">
        <v>29.873999999999999</v>
      </c>
      <c r="C215" s="92">
        <f t="shared" si="22"/>
        <v>1011.64955112</v>
      </c>
      <c r="D215" s="92">
        <v>76</v>
      </c>
      <c r="E215" s="92">
        <f>(C215-0.163*((D215-32)*5/9) + (0.5685 *((C215-0.163*((D215-32)*5/9)))/1000)) *EXP([5]Calc!$C$14/((M215+273.15)+((0.0065*64.6)/2)+(0.12*0.85*((6.112*EXP((17.67*M215)/(M215+243.5)))))))</f>
        <v>1015.6753878882191</v>
      </c>
      <c r="F215" s="93">
        <v>0</v>
      </c>
      <c r="G215" s="94">
        <v>14</v>
      </c>
      <c r="H215" s="32">
        <f t="shared" si="23"/>
        <v>9.7999999999999989</v>
      </c>
      <c r="I215" s="84">
        <v>8</v>
      </c>
      <c r="J215" s="95">
        <v>2</v>
      </c>
      <c r="K215" s="84">
        <v>1</v>
      </c>
      <c r="L215" s="84">
        <v>0</v>
      </c>
      <c r="M215" s="96">
        <v>23.9</v>
      </c>
      <c r="N215" s="96">
        <v>18.899999999999999</v>
      </c>
      <c r="O215" s="93">
        <f t="shared" si="24"/>
        <v>60.10499694511536</v>
      </c>
      <c r="P215" s="96">
        <f t="shared" si="26"/>
        <v>15.699438416914305</v>
      </c>
      <c r="Q215" s="97">
        <v>23.5</v>
      </c>
      <c r="R215" s="96">
        <v>21.5</v>
      </c>
      <c r="S215" s="96">
        <v>18.5</v>
      </c>
      <c r="T215" s="96">
        <v>29.9</v>
      </c>
      <c r="U215" s="96">
        <v>15.9</v>
      </c>
      <c r="V215" s="96">
        <f t="shared" si="25"/>
        <v>22.9</v>
      </c>
      <c r="W215" s="96">
        <v>13.6</v>
      </c>
      <c r="X215" s="96">
        <v>16.2</v>
      </c>
      <c r="Y215" s="98">
        <v>0.7</v>
      </c>
      <c r="Z215" s="99">
        <v>12</v>
      </c>
    </row>
    <row r="216" spans="1:26">
      <c r="A216" s="78">
        <f t="shared" si="27"/>
        <v>45505</v>
      </c>
      <c r="B216" s="91">
        <v>29.815999999999999</v>
      </c>
      <c r="C216" s="92">
        <f>B216*33.86388</f>
        <v>1009.68544608</v>
      </c>
      <c r="D216" s="92">
        <v>76.2</v>
      </c>
      <c r="E216" s="92">
        <f>(C216-0.163*((D216-32)*5/9) + (0.5685 *((C216-0.163*((D216-32)*5/9)))/1000)) *EXP([6]Calc!$C$14/((M216+273.15)+((0.0065*64.6)/2)+(0.12*0.85*((6.112*EXP((17.67*M216)/(M216+243.5)))))))</f>
        <v>1013.7331309523697</v>
      </c>
      <c r="F216" s="93">
        <v>0</v>
      </c>
      <c r="G216" s="94">
        <v>10</v>
      </c>
      <c r="H216" s="32">
        <f>G216*0.7</f>
        <v>7</v>
      </c>
      <c r="I216" s="84">
        <v>8</v>
      </c>
      <c r="J216" s="95">
        <v>1</v>
      </c>
      <c r="K216" s="84">
        <v>2</v>
      </c>
      <c r="L216" s="84">
        <v>0</v>
      </c>
      <c r="M216" s="96">
        <v>22</v>
      </c>
      <c r="N216" s="96">
        <v>18.8</v>
      </c>
      <c r="O216" s="93">
        <f>IF(M216&gt;0,100*(((6.112*EXP((17.67*N216)/(N216+243.5)))-0.8*(M216-N216))/(6.112*EXP((17.67*M216)/(M216+243.5)))),100*(((6.109*EXP((22.5*N216)/(N216+273)))-0.8*(M216-N216))/(6.109*EXP((22.5*M216)/(M216+273)))))</f>
        <v>72.374410670235818</v>
      </c>
      <c r="P216" s="96">
        <f>IF(M216&gt;0, (243.5*LN(((6.112*EXP((17.67*N216)/(N216+243.5)))-0.8*(M216-N216))/6.112))/(17.67-LN(((6.112*EXP((17.67*N216)/(N216+243.5)))-0.8*(M216-N216))/6.112)),(273*LN(((6.109*EXP((22.5*N216)/(N216+273)))-0.8*(M216-N216))/6.109))/(22.5-LN(((6.109*EXP((22.5*N216)/(N216+273)))-0.8*(M216-N216))/6.109)))</f>
        <v>16.806699837375838</v>
      </c>
      <c r="Q216" s="97">
        <v>23.9</v>
      </c>
      <c r="R216" s="96">
        <v>21.9</v>
      </c>
      <c r="S216" s="96">
        <v>18.8</v>
      </c>
      <c r="T216" s="96">
        <v>28.4</v>
      </c>
      <c r="U216" s="96">
        <v>16.899999999999999</v>
      </c>
      <c r="V216" s="96">
        <f>AVERAGE(T216:U216)</f>
        <v>22.65</v>
      </c>
      <c r="W216" s="96">
        <v>15.1</v>
      </c>
      <c r="X216" s="96">
        <v>17.5</v>
      </c>
      <c r="Y216" s="98">
        <v>0.3</v>
      </c>
      <c r="Z216" s="99">
        <v>7.6</v>
      </c>
    </row>
    <row r="217" spans="1:26">
      <c r="A217" s="78">
        <f t="shared" si="27"/>
        <v>45506</v>
      </c>
      <c r="B217" s="91">
        <v>29.738</v>
      </c>
      <c r="C217" s="92">
        <f t="shared" ref="C217:C246" si="28">B217*33.86388</f>
        <v>1007.0440634400001</v>
      </c>
      <c r="D217" s="92">
        <v>76.8</v>
      </c>
      <c r="E217" s="92">
        <f>(C217-0.163*((D217-32)*5/9) + (0.5685 *((C217-0.163*((D217-32)*5/9)))/1000)) *EXP([6]Calc!$C$14/((M217+273.15)+((0.0065*64.6)/2)+(0.12*0.85*((6.112*EXP((17.67*M217)/(M217+243.5)))))))</f>
        <v>1011.0275368668168</v>
      </c>
      <c r="F217" s="93">
        <v>4</v>
      </c>
      <c r="G217" s="94">
        <v>0</v>
      </c>
      <c r="H217" s="32">
        <f t="shared" ref="H217:H246" si="29">G217*0.7</f>
        <v>0</v>
      </c>
      <c r="I217" s="84">
        <v>7</v>
      </c>
      <c r="J217" s="95">
        <v>2</v>
      </c>
      <c r="K217" s="84">
        <v>1</v>
      </c>
      <c r="L217" s="84">
        <v>0</v>
      </c>
      <c r="M217" s="96">
        <v>21.6</v>
      </c>
      <c r="N217" s="96">
        <v>18</v>
      </c>
      <c r="O217" s="93">
        <f t="shared" ref="O217:O246" si="30">IF(M217&gt;0,100*(((6.112*EXP((17.67*N217)/(N217+243.5)))-0.8*(M217-N217))/(6.112*EXP((17.67*M217)/(M217+243.5)))),100*(((6.109*EXP((22.5*N217)/(N217+273)))-0.8*(M217-N217))/(6.109*EXP((22.5*M217)/(M217+273)))))</f>
        <v>68.809297927488103</v>
      </c>
      <c r="P217" s="96">
        <f>IF(M217&gt;0, (243.5*LN(((6.112*EXP((17.67*N217)/(N217+243.5)))-0.8*(M217-N217))/6.112))/(17.67-LN(((6.112*EXP((17.67*N217)/(N217+243.5)))-0.8*(M217-N217))/6.112)),(273*LN(((6.109*EXP((22.5*N217)/(N217+273)))-0.8*(M217-N217))/6.109))/(22.5-LN(((6.109*EXP((22.5*N217)/(N217+273)))-0.8*(M217-N217))/6.109)))</f>
        <v>15.63143429199509</v>
      </c>
      <c r="Q217" s="97">
        <v>23.4</v>
      </c>
      <c r="R217" s="96">
        <v>22</v>
      </c>
      <c r="S217" s="96">
        <v>18.8</v>
      </c>
      <c r="T217" s="96">
        <v>25.9</v>
      </c>
      <c r="U217" s="96">
        <v>16.600000000000001</v>
      </c>
      <c r="V217" s="96">
        <f t="shared" ref="V217:V246" si="31">AVERAGE(T217:U217)</f>
        <v>21.25</v>
      </c>
      <c r="W217" s="96">
        <v>15.1</v>
      </c>
      <c r="X217" s="96">
        <v>17.399999999999999</v>
      </c>
      <c r="Y217" s="98">
        <v>0.3</v>
      </c>
      <c r="Z217" s="99">
        <v>9.8000000000000007</v>
      </c>
    </row>
    <row r="218" spans="1:26">
      <c r="A218" s="78">
        <f t="shared" si="27"/>
        <v>45507</v>
      </c>
      <c r="B218" s="91">
        <v>29.7</v>
      </c>
      <c r="C218" s="92">
        <f t="shared" si="28"/>
        <v>1005.757236</v>
      </c>
      <c r="D218" s="92">
        <v>76.400000000000006</v>
      </c>
      <c r="E218" s="92">
        <f>(C218-0.163*((D218-32)*5/9) + (0.5685 *((C218-0.163*((D218-32)*5/9)))/1000)) *EXP([6]Calc!$C$14/((M218+273.15)+((0.0065*64.6)/2)+(0.12*0.85*((6.112*EXP((17.67*M218)/(M218+243.5)))))))</f>
        <v>1009.8195217403155</v>
      </c>
      <c r="F218" s="93">
        <v>3</v>
      </c>
      <c r="G218" s="94">
        <v>14</v>
      </c>
      <c r="H218" s="32">
        <f t="shared" si="29"/>
        <v>9.7999999999999989</v>
      </c>
      <c r="I218" s="84">
        <v>8</v>
      </c>
      <c r="J218" s="95">
        <v>2</v>
      </c>
      <c r="K218" s="84">
        <v>1</v>
      </c>
      <c r="L218" s="84">
        <v>0</v>
      </c>
      <c r="M218" s="96">
        <v>19.8</v>
      </c>
      <c r="N218" s="96">
        <v>16.3</v>
      </c>
      <c r="O218" s="93">
        <f t="shared" si="30"/>
        <v>68.109074526932858</v>
      </c>
      <c r="P218" s="96">
        <f t="shared" ref="P218:P247" si="32">IF(M218&gt;0, (243.5*LN(((6.112*EXP((17.67*N218)/(N218+243.5)))-0.8*(M218-N218))/6.112))/(17.67-LN(((6.112*EXP((17.67*N218)/(N218+243.5)))-0.8*(M218-N218))/6.112)),(273*LN(((6.109*EXP((22.5*N218)/(N218+273)))-0.8*(M218-N218))/6.109))/(22.5-LN(((6.109*EXP((22.5*N218)/(N218+273)))-0.8*(M218-N218))/6.109)))</f>
        <v>13.753889711712073</v>
      </c>
      <c r="Q218" s="97">
        <v>23.4</v>
      </c>
      <c r="R218" s="96">
        <v>22.1</v>
      </c>
      <c r="S218" s="96">
        <v>19</v>
      </c>
      <c r="T218" s="96">
        <v>22.78</v>
      </c>
      <c r="U218" s="96">
        <v>18.2</v>
      </c>
      <c r="V218" s="96">
        <f t="shared" si="31"/>
        <v>20.490000000000002</v>
      </c>
      <c r="W218" s="96">
        <v>16.5</v>
      </c>
      <c r="X218" s="96">
        <v>16.600000000000001</v>
      </c>
      <c r="Y218" s="98">
        <v>0</v>
      </c>
      <c r="Z218" s="99">
        <v>7.9</v>
      </c>
    </row>
    <row r="219" spans="1:26">
      <c r="A219" s="78">
        <f t="shared" si="27"/>
        <v>45508</v>
      </c>
      <c r="B219" s="91">
        <v>29.832000000000001</v>
      </c>
      <c r="C219" s="92">
        <f t="shared" si="28"/>
        <v>1010.2272681600001</v>
      </c>
      <c r="D219" s="92">
        <v>74.400000000000006</v>
      </c>
      <c r="E219" s="92">
        <f>(C219-0.163*((D219-32)*5/9) + (0.5685 *((C219-0.163*((D219-32)*5/9)))/1000)) *EXP([6]Calc!$C$14/((M219+273.15)+((0.0065*64.6)/2)+(0.12*0.85*((6.112*EXP((17.67*M219)/(M219+243.5)))))))</f>
        <v>1014.5758600886072</v>
      </c>
      <c r="F219" s="93">
        <v>7</v>
      </c>
      <c r="G219" s="94">
        <v>0</v>
      </c>
      <c r="H219" s="32">
        <f t="shared" si="29"/>
        <v>0</v>
      </c>
      <c r="I219" s="84">
        <v>8</v>
      </c>
      <c r="J219" s="95">
        <v>2</v>
      </c>
      <c r="K219" s="84">
        <v>1</v>
      </c>
      <c r="L219" s="84">
        <v>0</v>
      </c>
      <c r="M219" s="96">
        <v>17.5</v>
      </c>
      <c r="N219" s="96">
        <v>14.4</v>
      </c>
      <c r="O219" s="93">
        <f t="shared" si="30"/>
        <v>69.615474801830075</v>
      </c>
      <c r="P219" s="96">
        <f t="shared" si="32"/>
        <v>11.889058940488859</v>
      </c>
      <c r="Q219" s="97">
        <v>21.2</v>
      </c>
      <c r="R219" s="96">
        <v>21.2</v>
      </c>
      <c r="S219" s="96">
        <v>19.100000000000001</v>
      </c>
      <c r="T219" s="96">
        <v>22.8</v>
      </c>
      <c r="U219" s="96">
        <v>12</v>
      </c>
      <c r="V219" s="96">
        <f t="shared" si="31"/>
        <v>17.399999999999999</v>
      </c>
      <c r="W219" s="96">
        <v>7.6</v>
      </c>
      <c r="X219" s="96">
        <v>12.4</v>
      </c>
      <c r="Y219" s="98">
        <v>0</v>
      </c>
      <c r="Z219" s="99">
        <v>1.8</v>
      </c>
    </row>
    <row r="220" spans="1:26">
      <c r="A220" s="78">
        <f t="shared" si="27"/>
        <v>45509</v>
      </c>
      <c r="B220" s="91">
        <v>29.76</v>
      </c>
      <c r="C220" s="92">
        <f t="shared" si="28"/>
        <v>1007.7890688000001</v>
      </c>
      <c r="D220" s="92">
        <v>75.599999999999994</v>
      </c>
      <c r="E220" s="92">
        <f>(C220-0.163*((D220-32)*5/9) + (0.5685 *((C220-0.163*((D220-32)*5/9)))/1000)) *EXP([6]Calc!$C$14/((M220+273.15)+((0.0065*64.6)/2)+(0.12*0.85*((6.112*EXP((17.67*M220)/(M220+243.5)))))))</f>
        <v>1011.9290559937472</v>
      </c>
      <c r="F220" s="93">
        <v>8</v>
      </c>
      <c r="G220" s="94">
        <v>8</v>
      </c>
      <c r="H220" s="32">
        <f t="shared" si="29"/>
        <v>5.6</v>
      </c>
      <c r="I220" s="84">
        <v>8</v>
      </c>
      <c r="J220" s="95">
        <v>2</v>
      </c>
      <c r="K220" s="84">
        <v>1</v>
      </c>
      <c r="L220" s="84">
        <v>0</v>
      </c>
      <c r="M220" s="96">
        <v>20.2</v>
      </c>
      <c r="N220" s="96">
        <v>17.5</v>
      </c>
      <c r="O220" s="93">
        <f t="shared" si="30"/>
        <v>75.339496633151199</v>
      </c>
      <c r="P220" s="96">
        <f t="shared" si="32"/>
        <v>15.701652794592249</v>
      </c>
      <c r="Q220" s="97">
        <v>21.1</v>
      </c>
      <c r="R220" s="96">
        <v>20.6</v>
      </c>
      <c r="S220" s="96">
        <v>18.899999999999999</v>
      </c>
      <c r="T220" s="96">
        <v>24</v>
      </c>
      <c r="U220" s="96">
        <v>13.8</v>
      </c>
      <c r="V220" s="96">
        <f t="shared" si="31"/>
        <v>18.899999999999999</v>
      </c>
      <c r="W220" s="96">
        <v>11</v>
      </c>
      <c r="X220" s="96">
        <v>13.9</v>
      </c>
      <c r="Y220" s="98">
        <v>1</v>
      </c>
      <c r="Z220" s="99">
        <v>5</v>
      </c>
    </row>
    <row r="221" spans="1:26">
      <c r="A221" s="78">
        <f t="shared" si="27"/>
        <v>45510</v>
      </c>
      <c r="B221" s="91">
        <v>29.652000000000001</v>
      </c>
      <c r="C221" s="92">
        <f t="shared" si="28"/>
        <v>1004.1317697600001</v>
      </c>
      <c r="D221" s="92">
        <v>75.400000000000006</v>
      </c>
      <c r="E221" s="92">
        <f>(C221-0.163*((D221-32)*5/9) + (0.5685 *((C221-0.163*((D221-32)*5/9)))/1000)) *EXP([6]Calc!$C$14/((M221+273.15)+((0.0065*64.6)/2)+(0.12*0.85*((6.112*EXP((17.67*M221)/(M221+243.5)))))))</f>
        <v>1008.3629129874899</v>
      </c>
      <c r="F221" s="93">
        <v>8</v>
      </c>
      <c r="G221" s="94">
        <v>5</v>
      </c>
      <c r="H221" s="32">
        <f t="shared" si="29"/>
        <v>3.5</v>
      </c>
      <c r="I221" s="84">
        <v>7</v>
      </c>
      <c r="J221" s="95">
        <v>2</v>
      </c>
      <c r="K221" s="84">
        <v>2</v>
      </c>
      <c r="L221" s="84">
        <v>0</v>
      </c>
      <c r="M221" s="96">
        <v>16.7</v>
      </c>
      <c r="N221" s="96">
        <v>15.7</v>
      </c>
      <c r="O221" s="93">
        <f t="shared" si="30"/>
        <v>89.608694550398482</v>
      </c>
      <c r="P221" s="96">
        <f t="shared" si="32"/>
        <v>14.98492067178312</v>
      </c>
      <c r="Q221" s="97">
        <v>21.6</v>
      </c>
      <c r="R221" s="96">
        <v>20.7</v>
      </c>
      <c r="S221" s="96">
        <v>18.899999999999999</v>
      </c>
      <c r="T221" s="96">
        <v>22.6</v>
      </c>
      <c r="U221" s="96">
        <v>16</v>
      </c>
      <c r="V221" s="96">
        <f t="shared" si="31"/>
        <v>19.3</v>
      </c>
      <c r="W221" s="96">
        <v>16.8</v>
      </c>
      <c r="X221" s="96">
        <v>17.5</v>
      </c>
      <c r="Y221" s="98">
        <v>0</v>
      </c>
      <c r="Z221" s="99">
        <v>6.9</v>
      </c>
    </row>
    <row r="222" spans="1:26">
      <c r="A222" s="78">
        <f t="shared" si="27"/>
        <v>45511</v>
      </c>
      <c r="B222" s="91">
        <v>29.675999999999998</v>
      </c>
      <c r="C222" s="92">
        <f t="shared" si="28"/>
        <v>1004.94450288</v>
      </c>
      <c r="D222" s="92">
        <v>74.400000000000006</v>
      </c>
      <c r="E222" s="92">
        <f>(C222-0.163*((D222-32)*5/9) + (0.5685 *((C222-0.163*((D222-32)*5/9)))/1000)) *EXP([6]Calc!$C$14/((M222+273.15)+((0.0065*64.6)/2)+(0.12*0.85*((6.112*EXP((17.67*M222)/(M222+243.5)))))))</f>
        <v>1009.2325366670842</v>
      </c>
      <c r="F222" s="93">
        <v>7</v>
      </c>
      <c r="G222" s="94">
        <v>10</v>
      </c>
      <c r="H222" s="32">
        <f t="shared" si="29"/>
        <v>7</v>
      </c>
      <c r="I222" s="84">
        <v>8</v>
      </c>
      <c r="J222" s="95">
        <v>2</v>
      </c>
      <c r="K222" s="84">
        <v>1</v>
      </c>
      <c r="L222" s="84">
        <v>0</v>
      </c>
      <c r="M222" s="96">
        <v>18.100000000000001</v>
      </c>
      <c r="N222" s="96">
        <v>14.6</v>
      </c>
      <c r="O222" s="93">
        <f t="shared" si="30"/>
        <v>66.518398452765283</v>
      </c>
      <c r="P222" s="96">
        <f t="shared" si="32"/>
        <v>11.772416480664242</v>
      </c>
      <c r="Q222" s="97">
        <v>20</v>
      </c>
      <c r="R222" s="96">
        <v>20.399999999999999</v>
      </c>
      <c r="S222" s="96">
        <v>19</v>
      </c>
      <c r="T222" s="96">
        <v>21</v>
      </c>
      <c r="U222" s="96">
        <v>12.4</v>
      </c>
      <c r="V222" s="96">
        <f t="shared" si="31"/>
        <v>16.7</v>
      </c>
      <c r="W222" s="96">
        <v>9.8000000000000007</v>
      </c>
      <c r="X222" s="96">
        <v>11.4</v>
      </c>
      <c r="Y222" s="98" t="s">
        <v>61</v>
      </c>
      <c r="Z222" s="99">
        <v>2.9</v>
      </c>
    </row>
    <row r="223" spans="1:26">
      <c r="A223" s="78">
        <f t="shared" si="27"/>
        <v>45512</v>
      </c>
      <c r="B223" s="91">
        <v>29.808</v>
      </c>
      <c r="C223" s="92">
        <f t="shared" si="28"/>
        <v>1009.41453504</v>
      </c>
      <c r="D223" s="92">
        <v>73.599999999999994</v>
      </c>
      <c r="E223" s="92">
        <f>(C223-0.163*((D223-32)*5/9) + (0.5685 *((C223-0.163*((D223-32)*5/9)))/1000)) *EXP([6]Calc!$C$14/((M223+273.15)+((0.0065*64.6)/2)+(0.12*0.85*((6.112*EXP((17.67*M223)/(M223+243.5)))))))</f>
        <v>1013.7824934911984</v>
      </c>
      <c r="F223" s="93">
        <v>8</v>
      </c>
      <c r="G223" s="94">
        <v>15</v>
      </c>
      <c r="H223" s="32">
        <f t="shared" si="29"/>
        <v>10.5</v>
      </c>
      <c r="I223" s="84">
        <v>8</v>
      </c>
      <c r="J223" s="95">
        <v>2</v>
      </c>
      <c r="K223" s="84">
        <v>0</v>
      </c>
      <c r="L223" s="84">
        <v>0</v>
      </c>
      <c r="M223" s="96">
        <v>19.100000000000001</v>
      </c>
      <c r="N223" s="96">
        <v>15.7</v>
      </c>
      <c r="O223" s="93">
        <f t="shared" si="30"/>
        <v>68.351232034857404</v>
      </c>
      <c r="P223" s="96">
        <f t="shared" si="32"/>
        <v>13.139945676466436</v>
      </c>
      <c r="Q223" s="97">
        <v>19.3</v>
      </c>
      <c r="R223" s="96">
        <v>19.600000000000001</v>
      </c>
      <c r="S223" s="96">
        <v>18.899999999999999</v>
      </c>
      <c r="T223" s="96">
        <v>20.3</v>
      </c>
      <c r="U223" s="96">
        <v>12.7</v>
      </c>
      <c r="V223" s="96">
        <f t="shared" si="31"/>
        <v>16.5</v>
      </c>
      <c r="W223" s="96">
        <v>8.4</v>
      </c>
      <c r="X223" s="96">
        <v>11.3</v>
      </c>
      <c r="Y223" s="98">
        <v>0.2</v>
      </c>
      <c r="Z223" s="99">
        <v>3</v>
      </c>
    </row>
    <row r="224" spans="1:26">
      <c r="A224" s="78">
        <f t="shared" si="27"/>
        <v>45513</v>
      </c>
      <c r="B224" s="91">
        <v>29.806000000000001</v>
      </c>
      <c r="C224" s="92">
        <f t="shared" si="28"/>
        <v>1009.3468072800001</v>
      </c>
      <c r="D224" s="92">
        <v>75</v>
      </c>
      <c r="E224" s="92">
        <f>(C224-0.163*((D224-32)*5/9) + (0.5685 *((C224-0.163*((D224-32)*5/9)))/1000)) *EXP([6]Calc!$C$14/((M224+273.15)+((0.0065*64.6)/2)+(0.12*0.85*((6.112*EXP((17.67*M224)/(M224+243.5)))))))</f>
        <v>1013.5893523335627</v>
      </c>
      <c r="F224" s="93">
        <v>6</v>
      </c>
      <c r="G224" s="94">
        <v>8</v>
      </c>
      <c r="H224" s="32">
        <f t="shared" si="29"/>
        <v>5.6</v>
      </c>
      <c r="I224" s="84">
        <v>8</v>
      </c>
      <c r="J224" s="95">
        <v>1</v>
      </c>
      <c r="K224" s="84">
        <v>0</v>
      </c>
      <c r="L224" s="84">
        <v>0</v>
      </c>
      <c r="M224" s="96">
        <v>19</v>
      </c>
      <c r="N224" s="96">
        <v>15</v>
      </c>
      <c r="O224" s="93">
        <f t="shared" si="30"/>
        <v>63.025750918380865</v>
      </c>
      <c r="P224" s="96">
        <f t="shared" si="32"/>
        <v>11.809617718152799</v>
      </c>
      <c r="Q224" s="97">
        <v>19.899999999999999</v>
      </c>
      <c r="R224" s="96">
        <v>19.600000000000001</v>
      </c>
      <c r="S224" s="96">
        <v>18.899999999999999</v>
      </c>
      <c r="T224" s="96">
        <v>23.4</v>
      </c>
      <c r="U224" s="96">
        <v>16.8</v>
      </c>
      <c r="V224" s="96">
        <f t="shared" si="31"/>
        <v>20.100000000000001</v>
      </c>
      <c r="W224" s="96">
        <v>15.7</v>
      </c>
      <c r="X224" s="96">
        <v>16.7</v>
      </c>
      <c r="Y224" s="98">
        <v>0</v>
      </c>
      <c r="Z224" s="99">
        <v>9.6</v>
      </c>
    </row>
    <row r="225" spans="1:26">
      <c r="A225" s="78">
        <f t="shared" si="27"/>
        <v>45514</v>
      </c>
      <c r="B225" s="91">
        <v>29.956</v>
      </c>
      <c r="C225" s="92">
        <f t="shared" si="28"/>
        <v>1014.4263892800001</v>
      </c>
      <c r="D225" s="92">
        <v>74.5</v>
      </c>
      <c r="E225" s="92">
        <f>(C225-0.163*((D225-32)*5/9) + (0.5685 *((C225-0.163*((D225-32)*5/9)))/1000)) *EXP([6]Calc!$C$14/((M225+273.15)+((0.0065*64.6)/2)+(0.12*0.85*((6.112*EXP((17.67*M225)/(M225+243.5)))))))</f>
        <v>1018.7586371431165</v>
      </c>
      <c r="F225" s="93">
        <v>8</v>
      </c>
      <c r="G225" s="94">
        <v>8</v>
      </c>
      <c r="H225" s="32">
        <f t="shared" si="29"/>
        <v>5.6</v>
      </c>
      <c r="I225" s="84">
        <v>8</v>
      </c>
      <c r="J225" s="95">
        <v>2</v>
      </c>
      <c r="K225" s="84">
        <v>0</v>
      </c>
      <c r="L225" s="84">
        <v>0</v>
      </c>
      <c r="M225" s="96">
        <v>18.899999999999999</v>
      </c>
      <c r="N225" s="96">
        <v>15.9</v>
      </c>
      <c r="O225" s="93">
        <f t="shared" si="30"/>
        <v>71.728528829514232</v>
      </c>
      <c r="P225" s="96">
        <f t="shared" si="32"/>
        <v>13.688224231507299</v>
      </c>
      <c r="Q225" s="97">
        <v>20.6</v>
      </c>
      <c r="R225" s="96">
        <v>19.600000000000001</v>
      </c>
      <c r="S225" s="96">
        <v>18.8</v>
      </c>
      <c r="T225" s="96">
        <v>25.4</v>
      </c>
      <c r="U225" s="96">
        <v>14.6</v>
      </c>
      <c r="V225" s="96">
        <f t="shared" si="31"/>
        <v>20</v>
      </c>
      <c r="W225" s="96">
        <v>11.4</v>
      </c>
      <c r="X225" s="96">
        <v>14.4</v>
      </c>
      <c r="Y225" s="98" t="s">
        <v>61</v>
      </c>
      <c r="Z225" s="99">
        <v>4.0999999999999996</v>
      </c>
    </row>
    <row r="226" spans="1:26">
      <c r="A226" s="78">
        <f t="shared" si="27"/>
        <v>45515</v>
      </c>
      <c r="B226" s="91">
        <v>30.027999999999999</v>
      </c>
      <c r="C226" s="92">
        <f t="shared" si="28"/>
        <v>1016.86458864</v>
      </c>
      <c r="D226" s="92">
        <v>74</v>
      </c>
      <c r="E226" s="92">
        <f>(C226-0.163*((D226-32)*5/9) + (0.5685 *((C226-0.163*((D226-32)*5/9)))/1000)) *EXP([6]Calc!$C$14/((M226+273.15)+((0.0065*64.6)/2)+(0.12*0.85*((6.112*EXP((17.67*M226)/(M226+243.5)))))))</f>
        <v>1021.1646492642427</v>
      </c>
      <c r="F226" s="93">
        <v>1</v>
      </c>
      <c r="G226" s="94">
        <v>10</v>
      </c>
      <c r="H226" s="32">
        <f t="shared" si="29"/>
        <v>7</v>
      </c>
      <c r="I226" s="84">
        <v>8</v>
      </c>
      <c r="J226" s="95">
        <v>2</v>
      </c>
      <c r="K226" s="84">
        <v>0</v>
      </c>
      <c r="L226" s="84">
        <v>0</v>
      </c>
      <c r="M226" s="96">
        <v>22.2</v>
      </c>
      <c r="N226" s="96">
        <v>16.5</v>
      </c>
      <c r="O226" s="93">
        <f t="shared" si="30"/>
        <v>53.071321125075066</v>
      </c>
      <c r="P226" s="96">
        <f t="shared" si="32"/>
        <v>12.196534854426574</v>
      </c>
      <c r="Q226" s="97">
        <v>20.5</v>
      </c>
      <c r="R226" s="96">
        <v>19.7</v>
      </c>
      <c r="S226" s="96">
        <v>18.8</v>
      </c>
      <c r="T226" s="96">
        <v>28.3</v>
      </c>
      <c r="U226" s="96">
        <v>13.9</v>
      </c>
      <c r="V226" s="96">
        <f t="shared" si="31"/>
        <v>21.1</v>
      </c>
      <c r="W226" s="96">
        <v>10.8</v>
      </c>
      <c r="X226" s="96">
        <v>13.2</v>
      </c>
      <c r="Y226" s="98" t="s">
        <v>61</v>
      </c>
      <c r="Z226" s="99">
        <v>10.4</v>
      </c>
    </row>
    <row r="227" spans="1:26">
      <c r="A227" s="78">
        <f t="shared" si="27"/>
        <v>45516</v>
      </c>
      <c r="B227" s="91">
        <v>29.64</v>
      </c>
      <c r="C227" s="92">
        <f t="shared" si="28"/>
        <v>1003.7254032000001</v>
      </c>
      <c r="D227" s="92">
        <v>76.400000000000006</v>
      </c>
      <c r="E227" s="92">
        <f>(C227-0.163*((D227-32)*5/9) + (0.5685 *((C227-0.163*((D227-32)*5/9)))/1000)) *EXP([6]Calc!$C$14/((M227+273.15)+((0.0065*64.6)/2)+(0.12*0.85*((6.112*EXP((17.67*M227)/(M227+243.5)))))))</f>
        <v>1007.584657525179</v>
      </c>
      <c r="F227" s="93">
        <v>2</v>
      </c>
      <c r="G227" s="94">
        <v>8</v>
      </c>
      <c r="H227" s="32">
        <f t="shared" si="29"/>
        <v>5.6</v>
      </c>
      <c r="I227" s="84">
        <v>8</v>
      </c>
      <c r="J227" s="95">
        <v>2</v>
      </c>
      <c r="K227" s="84">
        <v>0</v>
      </c>
      <c r="L227" s="84">
        <v>0</v>
      </c>
      <c r="M227" s="96">
        <v>26.2</v>
      </c>
      <c r="N227" s="96">
        <v>20.9</v>
      </c>
      <c r="O227" s="93">
        <f t="shared" si="30"/>
        <v>60.16489779367592</v>
      </c>
      <c r="P227" s="96">
        <f t="shared" si="32"/>
        <v>17.875775152950407</v>
      </c>
      <c r="Q227" s="97">
        <v>22.6</v>
      </c>
      <c r="R227" s="96">
        <v>20.5</v>
      </c>
      <c r="S227" s="96">
        <v>18.8</v>
      </c>
      <c r="T227" s="84">
        <v>30.4</v>
      </c>
      <c r="U227" s="96">
        <v>17</v>
      </c>
      <c r="V227" s="96">
        <f t="shared" si="31"/>
        <v>23.7</v>
      </c>
      <c r="W227" s="96">
        <v>14.2</v>
      </c>
      <c r="X227" s="96">
        <v>16.5</v>
      </c>
      <c r="Y227" s="84">
        <v>0.7</v>
      </c>
      <c r="Z227" s="99">
        <v>12.4</v>
      </c>
    </row>
    <row r="228" spans="1:26">
      <c r="A228" s="78">
        <f t="shared" si="27"/>
        <v>45517</v>
      </c>
      <c r="B228" s="91">
        <v>29.681999999999999</v>
      </c>
      <c r="C228" s="92">
        <f t="shared" si="28"/>
        <v>1005.14768616</v>
      </c>
      <c r="D228" s="92">
        <v>74</v>
      </c>
      <c r="E228" s="92">
        <f>(C228-0.163*((D228-32)*5/9) + (0.5685 *((C228-0.163*((D228-32)*5/9)))/1000)) *EXP([6]Calc!$C$14/((M228+273.15)+((0.0065*64.6)/2)+(0.12*0.85*((6.112*EXP((17.67*M228)/(M228+243.5)))))))</f>
        <v>1009.4241404621374</v>
      </c>
      <c r="F228" s="93">
        <v>4</v>
      </c>
      <c r="G228" s="84">
        <v>7</v>
      </c>
      <c r="H228" s="32">
        <f t="shared" si="29"/>
        <v>4.8999999999999995</v>
      </c>
      <c r="I228" s="84">
        <v>8</v>
      </c>
      <c r="J228" s="84">
        <v>2</v>
      </c>
      <c r="K228" s="84">
        <v>1</v>
      </c>
      <c r="L228" s="84">
        <v>0</v>
      </c>
      <c r="M228" s="84">
        <v>19.8</v>
      </c>
      <c r="N228" s="84">
        <v>15.5</v>
      </c>
      <c r="O228" s="93">
        <f t="shared" si="30"/>
        <v>61.334833213473026</v>
      </c>
      <c r="P228" s="96">
        <f t="shared" si="32"/>
        <v>12.15255335340761</v>
      </c>
      <c r="Q228" s="84">
        <v>21.5</v>
      </c>
      <c r="R228" s="84">
        <v>20.9</v>
      </c>
      <c r="S228" s="84">
        <v>18.899999999999999</v>
      </c>
      <c r="T228" s="96">
        <v>25.4</v>
      </c>
      <c r="U228" s="84">
        <v>12</v>
      </c>
      <c r="V228" s="96">
        <f t="shared" si="31"/>
        <v>18.7</v>
      </c>
      <c r="W228" s="84">
        <v>7.5</v>
      </c>
      <c r="X228" s="84">
        <v>10.6</v>
      </c>
      <c r="Y228" s="98" t="s">
        <v>61</v>
      </c>
      <c r="Z228" s="99">
        <v>11.5</v>
      </c>
    </row>
    <row r="229" spans="1:26">
      <c r="A229" s="78">
        <f t="shared" si="27"/>
        <v>45518</v>
      </c>
      <c r="B229" s="91">
        <v>29.776</v>
      </c>
      <c r="C229" s="92">
        <f t="shared" si="28"/>
        <v>1008.3308908800001</v>
      </c>
      <c r="D229" s="92">
        <v>76</v>
      </c>
      <c r="E229" s="92">
        <f>(C229-0.163*((D229-32)*5/9) + (0.5685 *((C229-0.163*((D229-32)*5/9)))/1000)) *EXP([6]Calc!$C$14/((M229+273.15)+((0.0065*64.6)/2)+(0.12*0.85*((6.112*EXP((17.67*M229)/(M229+243.5)))))))</f>
        <v>1012.4944774643803</v>
      </c>
      <c r="F229" s="93">
        <v>8</v>
      </c>
      <c r="G229" s="94">
        <v>5</v>
      </c>
      <c r="H229" s="32">
        <f t="shared" si="29"/>
        <v>3.5</v>
      </c>
      <c r="I229" s="84">
        <v>7</v>
      </c>
      <c r="J229" s="95">
        <v>2</v>
      </c>
      <c r="K229" s="84">
        <v>2</v>
      </c>
      <c r="L229" s="84">
        <v>0</v>
      </c>
      <c r="M229" s="96">
        <v>18.3</v>
      </c>
      <c r="N229" s="96">
        <v>17.100000000000001</v>
      </c>
      <c r="O229" s="93">
        <f t="shared" si="30"/>
        <v>88.143997216657496</v>
      </c>
      <c r="P229" s="96">
        <f t="shared" si="32"/>
        <v>16.305034184673836</v>
      </c>
      <c r="Q229" s="97">
        <v>19.100000000000001</v>
      </c>
      <c r="R229" s="96">
        <v>20.2</v>
      </c>
      <c r="S229" s="96">
        <v>18.8</v>
      </c>
      <c r="T229" s="96">
        <v>20.399999999999999</v>
      </c>
      <c r="U229" s="96">
        <v>12.1</v>
      </c>
      <c r="V229" s="96">
        <f t="shared" si="31"/>
        <v>16.25</v>
      </c>
      <c r="W229" s="96">
        <v>15.5</v>
      </c>
      <c r="X229" s="96">
        <v>17.899999999999999</v>
      </c>
      <c r="Y229" s="98">
        <v>2.5</v>
      </c>
      <c r="Z229" s="99">
        <v>0</v>
      </c>
    </row>
    <row r="230" spans="1:26">
      <c r="A230" s="78">
        <f t="shared" si="27"/>
        <v>45519</v>
      </c>
      <c r="B230" s="91">
        <v>29.818000000000001</v>
      </c>
      <c r="C230" s="92">
        <f t="shared" si="28"/>
        <v>1009.75317384</v>
      </c>
      <c r="D230" s="92">
        <v>74.400000000000006</v>
      </c>
      <c r="E230" s="92">
        <f>(C230-0.163*((D230-32)*5/9) + (0.5685 *((C230-0.163*((D230-32)*5/9)))/1000)) *EXP([6]Calc!$C$14/((M230+273.15)+((0.0065*64.6)/2)+(0.12*0.85*((6.112*EXP((17.67*M230)/(M230+243.5)))))))</f>
        <v>1014.065540108797</v>
      </c>
      <c r="F230" s="93">
        <v>2</v>
      </c>
      <c r="G230" s="94">
        <v>15</v>
      </c>
      <c r="H230" s="32">
        <f t="shared" si="29"/>
        <v>10.5</v>
      </c>
      <c r="I230" s="84">
        <v>8</v>
      </c>
      <c r="J230" s="95">
        <v>2</v>
      </c>
      <c r="K230" s="84">
        <v>0</v>
      </c>
      <c r="L230" s="84">
        <v>0</v>
      </c>
      <c r="M230" s="96">
        <v>18.600000000000001</v>
      </c>
      <c r="N230" s="96">
        <v>15.4</v>
      </c>
      <c r="O230" s="93">
        <f t="shared" si="30"/>
        <v>69.683004611589752</v>
      </c>
      <c r="P230" s="96">
        <f t="shared" si="32"/>
        <v>12.956996590740683</v>
      </c>
      <c r="Q230" s="97">
        <v>18.899999999999999</v>
      </c>
      <c r="R230" s="96">
        <v>19.899999999999999</v>
      </c>
      <c r="S230" s="96">
        <v>18.899999999999999</v>
      </c>
      <c r="T230" s="84">
        <v>24.4</v>
      </c>
      <c r="U230" s="96">
        <v>13</v>
      </c>
      <c r="V230" s="96">
        <f t="shared" si="31"/>
        <v>18.7</v>
      </c>
      <c r="W230" s="96">
        <v>11</v>
      </c>
      <c r="X230" s="96">
        <v>12.1</v>
      </c>
      <c r="Y230" s="98">
        <v>0</v>
      </c>
      <c r="Z230" s="99">
        <v>5.3</v>
      </c>
    </row>
    <row r="231" spans="1:26">
      <c r="A231" s="78">
        <f t="shared" si="27"/>
        <v>45520</v>
      </c>
      <c r="B231" s="91">
        <v>29.8</v>
      </c>
      <c r="C231" s="92">
        <f t="shared" si="28"/>
        <v>1009.143624</v>
      </c>
      <c r="D231" s="92">
        <v>73.8</v>
      </c>
      <c r="E231" s="92">
        <f>(C231-0.163*((D231-32)*5/9) + (0.5685 *((C231-0.163*((D231-32)*5/9)))/1000)) *EXP([6]Calc!$C$14/((M231+273.15)+((0.0065*64.6)/2)+(0.12*0.85*((6.112*EXP((17.67*M231)/(M231+243.5)))))))</f>
        <v>1013.5234642119971</v>
      </c>
      <c r="F231" s="93">
        <v>1</v>
      </c>
      <c r="G231" s="94">
        <v>4</v>
      </c>
      <c r="H231" s="32">
        <f t="shared" si="29"/>
        <v>2.8</v>
      </c>
      <c r="I231" s="84">
        <v>8</v>
      </c>
      <c r="J231" s="95">
        <v>2</v>
      </c>
      <c r="K231" s="84">
        <v>1</v>
      </c>
      <c r="L231" s="84">
        <v>0</v>
      </c>
      <c r="M231" s="96">
        <v>18</v>
      </c>
      <c r="N231" s="96">
        <v>14.2</v>
      </c>
      <c r="O231" s="93">
        <f t="shared" si="30"/>
        <v>63.717885463613797</v>
      </c>
      <c r="P231" s="96">
        <f t="shared" si="32"/>
        <v>11.027896383144775</v>
      </c>
      <c r="Q231" s="97">
        <v>19.100000000000001</v>
      </c>
      <c r="R231" s="96">
        <v>20.3</v>
      </c>
      <c r="S231" s="84">
        <v>19</v>
      </c>
      <c r="T231" s="96">
        <v>24</v>
      </c>
      <c r="U231" s="96">
        <v>11.5</v>
      </c>
      <c r="V231" s="96">
        <f t="shared" si="31"/>
        <v>17.75</v>
      </c>
      <c r="W231" s="96">
        <v>9.4</v>
      </c>
      <c r="X231" s="84">
        <v>11.3</v>
      </c>
      <c r="Y231" s="98">
        <v>0.9</v>
      </c>
      <c r="Z231" s="99">
        <v>11.8</v>
      </c>
    </row>
    <row r="232" spans="1:26">
      <c r="A232" s="78">
        <f t="shared" si="27"/>
        <v>45521</v>
      </c>
      <c r="B232" s="91">
        <v>29.783999999999999</v>
      </c>
      <c r="C232" s="92">
        <f t="shared" si="28"/>
        <v>1008.6018019200001</v>
      </c>
      <c r="D232" s="92">
        <v>73.2</v>
      </c>
      <c r="E232" s="92">
        <f>(C232-0.163*((D232-32)*5/9) + (0.5685 *((C232-0.163*((D232-32)*5/9)))/1000)) *EXP([6]Calc!$C$14/((M232+273.15)+((0.0065*64.6)/2)+(0.12*0.85*((6.112*EXP((17.67*M232)/(M232+243.5)))))))</f>
        <v>1013.0643772062451</v>
      </c>
      <c r="F232" s="93">
        <v>1</v>
      </c>
      <c r="G232" s="94">
        <v>0</v>
      </c>
      <c r="H232" s="32">
        <f t="shared" si="29"/>
        <v>0</v>
      </c>
      <c r="I232" s="84">
        <v>8</v>
      </c>
      <c r="J232" s="95">
        <v>2</v>
      </c>
      <c r="K232" s="84">
        <v>0</v>
      </c>
      <c r="L232" s="84">
        <v>0</v>
      </c>
      <c r="M232" s="96">
        <v>16.899999999999999</v>
      </c>
      <c r="N232" s="96">
        <v>13.1</v>
      </c>
      <c r="O232" s="93">
        <f t="shared" si="30"/>
        <v>62.494837117014555</v>
      </c>
      <c r="P232" s="96">
        <f t="shared" si="32"/>
        <v>9.6965461210268966</v>
      </c>
      <c r="Q232" s="97">
        <v>19.5</v>
      </c>
      <c r="R232" s="96">
        <v>20</v>
      </c>
      <c r="S232" s="96">
        <v>18.899999999999999</v>
      </c>
      <c r="T232" s="96">
        <v>22.6</v>
      </c>
      <c r="U232" s="96">
        <v>10.6</v>
      </c>
      <c r="V232" s="96">
        <f t="shared" si="31"/>
        <v>16.600000000000001</v>
      </c>
      <c r="W232" s="96">
        <v>8.8000000000000007</v>
      </c>
      <c r="X232" s="96">
        <v>9.9</v>
      </c>
      <c r="Y232" s="98">
        <v>0</v>
      </c>
      <c r="Z232" s="99">
        <v>10.5</v>
      </c>
    </row>
    <row r="233" spans="1:26">
      <c r="A233" s="78">
        <f t="shared" si="27"/>
        <v>45522</v>
      </c>
      <c r="B233" s="91">
        <v>29.75</v>
      </c>
      <c r="C233" s="92">
        <f t="shared" si="28"/>
        <v>1007.4504300000001</v>
      </c>
      <c r="D233" s="92">
        <v>74.2</v>
      </c>
      <c r="E233" s="92">
        <f>(C233-0.163*((D233-32)*5/9) + (0.5685 *((C233-0.163*((D233-32)*5/9)))/1000)) *EXP([6]Calc!$C$14/((M233+273.15)+((0.0065*64.6)/2)+(0.12*0.85*((6.112*EXP((17.67*M233)/(M233+243.5)))))))</f>
        <v>1011.7506596730959</v>
      </c>
      <c r="F233" s="93">
        <v>5</v>
      </c>
      <c r="G233" s="94">
        <v>8</v>
      </c>
      <c r="H233" s="32">
        <f t="shared" si="29"/>
        <v>5.6</v>
      </c>
      <c r="I233" s="84">
        <v>8</v>
      </c>
      <c r="J233" s="95">
        <v>2</v>
      </c>
      <c r="K233" s="84">
        <v>0</v>
      </c>
      <c r="L233" s="84">
        <v>0</v>
      </c>
      <c r="M233" s="96">
        <v>19</v>
      </c>
      <c r="N233" s="96">
        <v>14.5</v>
      </c>
      <c r="O233" s="93">
        <f t="shared" si="30"/>
        <v>58.74112776626076</v>
      </c>
      <c r="P233" s="96">
        <f t="shared" si="32"/>
        <v>10.747479337246711</v>
      </c>
      <c r="Q233" s="97">
        <v>20.6</v>
      </c>
      <c r="R233" s="96">
        <v>19.899999999999999</v>
      </c>
      <c r="S233" s="96">
        <v>19</v>
      </c>
      <c r="T233" s="96">
        <v>22.6</v>
      </c>
      <c r="U233" s="96">
        <v>13.9</v>
      </c>
      <c r="V233" s="96">
        <f t="shared" si="31"/>
        <v>18.25</v>
      </c>
      <c r="W233" s="96">
        <v>10.6</v>
      </c>
      <c r="X233" s="96">
        <v>13.5</v>
      </c>
      <c r="Y233" s="98">
        <v>0</v>
      </c>
      <c r="Z233" s="99">
        <v>8.3000000000000007</v>
      </c>
    </row>
    <row r="234" spans="1:26">
      <c r="A234" s="78">
        <f t="shared" si="27"/>
        <v>45523</v>
      </c>
      <c r="B234" s="91">
        <v>29.873999999999999</v>
      </c>
      <c r="C234" s="92">
        <f t="shared" si="28"/>
        <v>1011.64955112</v>
      </c>
      <c r="D234" s="92">
        <v>72.599999999999994</v>
      </c>
      <c r="E234" s="92">
        <f>(C234-0.163*((D234-32)*5/9) + (0.5685 *((C234-0.163*((D234-32)*5/9)))/1000)) *EXP([6]Calc!$C$14/((M234+273.15)+((0.0065*64.6)/2)+(0.12*0.85*((6.112*EXP((17.67*M234)/(M234+243.5)))))))</f>
        <v>1016.168140534378</v>
      </c>
      <c r="F234" s="93">
        <v>8</v>
      </c>
      <c r="G234" s="94">
        <v>8</v>
      </c>
      <c r="H234" s="32">
        <f t="shared" si="29"/>
        <v>5.6</v>
      </c>
      <c r="I234" s="84">
        <v>7</v>
      </c>
      <c r="J234" s="95">
        <v>2</v>
      </c>
      <c r="K234" s="84">
        <v>0</v>
      </c>
      <c r="L234" s="84">
        <v>0</v>
      </c>
      <c r="M234" s="96">
        <v>17.7</v>
      </c>
      <c r="N234" s="96">
        <v>14.2</v>
      </c>
      <c r="O234" s="93">
        <f t="shared" si="30"/>
        <v>66.119252206562393</v>
      </c>
      <c r="P234" s="96">
        <f t="shared" si="32"/>
        <v>11.300670442816257</v>
      </c>
      <c r="Q234" s="97">
        <v>19.7</v>
      </c>
      <c r="R234" s="96">
        <v>19.600000000000001</v>
      </c>
      <c r="S234" s="96">
        <v>18.8</v>
      </c>
      <c r="T234" s="96">
        <v>19.8</v>
      </c>
      <c r="U234" s="96">
        <v>11</v>
      </c>
      <c r="V234" s="96">
        <f t="shared" si="31"/>
        <v>15.4</v>
      </c>
      <c r="W234" s="96">
        <v>8</v>
      </c>
      <c r="X234" s="96">
        <v>10.1</v>
      </c>
      <c r="Y234" s="98">
        <v>1.1000000000000001</v>
      </c>
      <c r="Z234" s="99">
        <v>1.4</v>
      </c>
    </row>
    <row r="235" spans="1:26">
      <c r="A235" s="78">
        <f t="shared" si="27"/>
        <v>45524</v>
      </c>
      <c r="B235" s="91">
        <v>29.69</v>
      </c>
      <c r="C235" s="92">
        <f t="shared" si="28"/>
        <v>1005.4185972000001</v>
      </c>
      <c r="D235" s="92">
        <v>72.400000000000006</v>
      </c>
      <c r="E235" s="92">
        <f>(C235-0.163*((D235-32)*5/9) + (0.5685 *((C235-0.163*((D235-32)*5/9)))/1000)) *EXP([6]Calc!$C$14/((M235+273.15)+((0.0065*64.6)/2)+(0.12*0.85*((6.112*EXP((17.67*M235)/(M235+243.5)))))))</f>
        <v>1009.8608499599966</v>
      </c>
      <c r="F235" s="93">
        <v>6</v>
      </c>
      <c r="G235" s="94">
        <v>13</v>
      </c>
      <c r="H235" s="32">
        <f t="shared" si="29"/>
        <v>9.1</v>
      </c>
      <c r="I235" s="84">
        <v>8</v>
      </c>
      <c r="J235" s="95">
        <v>2</v>
      </c>
      <c r="K235" s="84">
        <v>0</v>
      </c>
      <c r="L235" s="84">
        <v>0</v>
      </c>
      <c r="M235" s="96">
        <v>19.2</v>
      </c>
      <c r="N235" s="96">
        <v>16.2</v>
      </c>
      <c r="O235" s="93">
        <f t="shared" si="30"/>
        <v>71.968569355759968</v>
      </c>
      <c r="P235" s="96">
        <f t="shared" si="32"/>
        <v>14.027905347396146</v>
      </c>
      <c r="Q235" s="97">
        <v>18.7</v>
      </c>
      <c r="R235" s="96">
        <v>19.3</v>
      </c>
      <c r="S235" s="96">
        <v>18.8</v>
      </c>
      <c r="T235" s="96">
        <v>20.92</v>
      </c>
      <c r="U235" s="96">
        <v>15.3</v>
      </c>
      <c r="V235" s="96">
        <f t="shared" si="31"/>
        <v>18.11</v>
      </c>
      <c r="W235" s="96">
        <v>14</v>
      </c>
      <c r="X235" s="96">
        <v>15</v>
      </c>
      <c r="Y235" s="98">
        <v>0</v>
      </c>
      <c r="Z235" s="99">
        <v>8.1</v>
      </c>
    </row>
    <row r="236" spans="1:26">
      <c r="A236" s="78">
        <f t="shared" si="27"/>
        <v>45525</v>
      </c>
      <c r="B236" s="91">
        <v>29.92</v>
      </c>
      <c r="C236" s="92">
        <f t="shared" si="28"/>
        <v>1013.2072896000001</v>
      </c>
      <c r="D236" s="92">
        <v>72.400000000000006</v>
      </c>
      <c r="E236" s="92">
        <f>(C236-0.163*((D236-32)*5/9) + (0.5685 *((C236-0.163*((D236-32)*5/9)))/1000)) *EXP([6]Calc!$C$14/((M236+273.15)+((0.0065*64.6)/2)+(0.12*0.85*((6.112*EXP((17.67*M236)/(M236+243.5)))))))</f>
        <v>1017.7715801243668</v>
      </c>
      <c r="F236" s="93">
        <v>2</v>
      </c>
      <c r="G236" s="94">
        <v>13</v>
      </c>
      <c r="H236" s="32">
        <f t="shared" si="29"/>
        <v>9.1</v>
      </c>
      <c r="I236" s="84">
        <v>8</v>
      </c>
      <c r="J236" s="95">
        <v>2</v>
      </c>
      <c r="K236" s="84">
        <v>0</v>
      </c>
      <c r="L236" s="84">
        <v>0</v>
      </c>
      <c r="M236" s="96">
        <v>17.2</v>
      </c>
      <c r="N236" s="96">
        <v>12.4</v>
      </c>
      <c r="O236" s="93">
        <f t="shared" si="30"/>
        <v>53.794328783117074</v>
      </c>
      <c r="P236" s="96">
        <f t="shared" si="32"/>
        <v>7.761046071911351</v>
      </c>
      <c r="Q236" s="97">
        <v>18.100000000000001</v>
      </c>
      <c r="R236" s="96">
        <v>18.899999999999999</v>
      </c>
      <c r="S236" s="96">
        <v>18.8</v>
      </c>
      <c r="T236" s="96">
        <v>19.2</v>
      </c>
      <c r="U236" s="96">
        <v>10.8</v>
      </c>
      <c r="V236" s="96">
        <f t="shared" si="31"/>
        <v>15</v>
      </c>
      <c r="W236" s="96">
        <v>7.8</v>
      </c>
      <c r="X236" s="96">
        <v>9.9</v>
      </c>
      <c r="Y236" s="98" t="s">
        <v>22</v>
      </c>
      <c r="Z236" s="99">
        <v>7.6</v>
      </c>
    </row>
    <row r="237" spans="1:26">
      <c r="A237" s="78">
        <f t="shared" si="27"/>
        <v>45526</v>
      </c>
      <c r="B237" s="91">
        <v>29.5</v>
      </c>
      <c r="C237" s="92">
        <f t="shared" si="28"/>
        <v>998.98446000000001</v>
      </c>
      <c r="D237" s="92">
        <v>72.2</v>
      </c>
      <c r="E237" s="92">
        <f>(C237-0.163*((D237-32)*5/9) + (0.5685 *((C237-0.163*((D237-32)*5/9)))/1000)) *EXP([6]Calc!$C$14/((M237+273.15)+((0.0065*64.6)/2)+(0.12*0.85*((6.112*EXP((17.67*M237)/(M237+243.5)))))))</f>
        <v>1003.4599118267461</v>
      </c>
      <c r="F237" s="93">
        <v>8</v>
      </c>
      <c r="G237" s="94">
        <v>20</v>
      </c>
      <c r="H237" s="32">
        <f t="shared" si="29"/>
        <v>14</v>
      </c>
      <c r="I237" s="84">
        <v>7</v>
      </c>
      <c r="J237" s="95">
        <v>53</v>
      </c>
      <c r="K237" s="84">
        <v>1</v>
      </c>
      <c r="L237" s="84">
        <v>0</v>
      </c>
      <c r="M237" s="96">
        <v>16.899999999999999</v>
      </c>
      <c r="N237" s="96">
        <v>15.6</v>
      </c>
      <c r="O237" s="93">
        <f t="shared" si="30"/>
        <v>86.638894339417476</v>
      </c>
      <c r="P237" s="96">
        <f t="shared" si="32"/>
        <v>14.659180734116031</v>
      </c>
      <c r="Q237" s="97">
        <v>19</v>
      </c>
      <c r="R237" s="96">
        <v>18.8</v>
      </c>
      <c r="S237" s="96">
        <v>18.600000000000001</v>
      </c>
      <c r="T237" s="96">
        <v>21.9</v>
      </c>
      <c r="U237" s="96">
        <v>15.1</v>
      </c>
      <c r="V237" s="96">
        <f t="shared" si="31"/>
        <v>18.5</v>
      </c>
      <c r="W237" s="96">
        <v>12.5</v>
      </c>
      <c r="X237" s="96">
        <v>14.9</v>
      </c>
      <c r="Y237" s="98">
        <v>2.8</v>
      </c>
      <c r="Z237" s="99">
        <v>2.4</v>
      </c>
    </row>
    <row r="238" spans="1:26">
      <c r="A238" s="78">
        <f t="shared" si="27"/>
        <v>45527</v>
      </c>
      <c r="B238" s="91">
        <v>29.434000000000001</v>
      </c>
      <c r="C238" s="92">
        <f t="shared" si="28"/>
        <v>996.74944392000009</v>
      </c>
      <c r="D238" s="92">
        <v>73</v>
      </c>
      <c r="E238" s="92">
        <f>(C238-0.163*((D238-32)*5/9) + (0.5685 *((C238-0.163*((D238-32)*5/9)))/1000)) *EXP([6]Calc!$C$14/((M238+273.15)+((0.0065*64.6)/2)+(0.12*0.85*((6.112*EXP((17.67*M238)/(M238+243.5)))))))</f>
        <v>1001.0958476799378</v>
      </c>
      <c r="F238" s="93">
        <v>4</v>
      </c>
      <c r="G238" s="94">
        <v>15</v>
      </c>
      <c r="H238" s="32">
        <f t="shared" si="29"/>
        <v>10.5</v>
      </c>
      <c r="I238" s="84">
        <v>8</v>
      </c>
      <c r="J238" s="95">
        <v>2</v>
      </c>
      <c r="K238" s="84">
        <v>1</v>
      </c>
      <c r="L238" s="84">
        <v>0</v>
      </c>
      <c r="M238" s="96">
        <v>18.2</v>
      </c>
      <c r="N238" s="96">
        <v>13.7</v>
      </c>
      <c r="O238" s="93">
        <f t="shared" si="30"/>
        <v>57.76622480598369</v>
      </c>
      <c r="P238" s="96">
        <f t="shared" si="32"/>
        <v>9.747211212603915</v>
      </c>
      <c r="Q238" s="97">
        <v>18.899999999999999</v>
      </c>
      <c r="R238" s="96">
        <v>18.899999999999999</v>
      </c>
      <c r="S238" s="96">
        <v>18.600000000000001</v>
      </c>
      <c r="T238" s="96">
        <v>20.9</v>
      </c>
      <c r="U238" s="96">
        <v>15.8</v>
      </c>
      <c r="V238" s="96">
        <f t="shared" si="31"/>
        <v>18.350000000000001</v>
      </c>
      <c r="W238" s="96">
        <v>13.6</v>
      </c>
      <c r="X238" s="96">
        <v>15.3</v>
      </c>
      <c r="Y238" s="98">
        <v>14.7</v>
      </c>
      <c r="Z238" s="99">
        <v>10.9</v>
      </c>
    </row>
    <row r="239" spans="1:26">
      <c r="A239" s="78">
        <f t="shared" si="27"/>
        <v>45528</v>
      </c>
      <c r="B239" s="91">
        <v>29.46</v>
      </c>
      <c r="C239" s="92">
        <f t="shared" si="28"/>
        <v>997.62990480000008</v>
      </c>
      <c r="D239" s="92">
        <v>71.2</v>
      </c>
      <c r="E239" s="92">
        <f>(C239-0.163*((D239-32)*5/9) + (0.5685 *((C239-0.163*((D239-32)*5/9)))/1000)) *EXP([6]Calc!$C$14/((M239+273.15)+((0.0065*64.6)/2)+(0.12*0.85*((6.112*EXP((17.67*M239)/(M239+243.5)))))))</f>
        <v>1002.2527301864235</v>
      </c>
      <c r="F239" s="93">
        <v>8</v>
      </c>
      <c r="G239" s="94">
        <v>5</v>
      </c>
      <c r="H239" s="32">
        <f t="shared" si="29"/>
        <v>3.5</v>
      </c>
      <c r="I239" s="84">
        <v>6</v>
      </c>
      <c r="J239" s="95">
        <v>2</v>
      </c>
      <c r="K239" s="84">
        <v>3</v>
      </c>
      <c r="L239" s="84">
        <v>0</v>
      </c>
      <c r="M239" s="96">
        <v>14.6</v>
      </c>
      <c r="N239" s="96">
        <v>14.4</v>
      </c>
      <c r="O239" s="93">
        <f t="shared" si="30"/>
        <v>97.75206040917314</v>
      </c>
      <c r="P239" s="96">
        <f t="shared" si="32"/>
        <v>14.248471201612515</v>
      </c>
      <c r="Q239" s="97">
        <v>18</v>
      </c>
      <c r="R239" s="96">
        <v>19</v>
      </c>
      <c r="S239" s="96">
        <v>18.399999999999999</v>
      </c>
      <c r="T239" s="96">
        <v>19.100000000000001</v>
      </c>
      <c r="U239" s="96">
        <v>13.5</v>
      </c>
      <c r="V239" s="96">
        <f t="shared" si="31"/>
        <v>16.3</v>
      </c>
      <c r="W239" s="96">
        <v>12.9</v>
      </c>
      <c r="X239" s="96">
        <v>14.1</v>
      </c>
      <c r="Y239" s="98">
        <v>11.1</v>
      </c>
      <c r="Z239" s="99">
        <v>3.4</v>
      </c>
    </row>
    <row r="240" spans="1:26">
      <c r="A240" s="78">
        <f t="shared" si="27"/>
        <v>45529</v>
      </c>
      <c r="B240" s="91">
        <v>30.076000000000001</v>
      </c>
      <c r="C240" s="92">
        <f t="shared" si="28"/>
        <v>1018.4900548800001</v>
      </c>
      <c r="D240" s="92">
        <v>70.2</v>
      </c>
      <c r="E240" s="92">
        <f>(C240-0.163*((D240-32)*5/9) + (0.5685 *((C240-0.163*((D240-32)*5/9)))/1000)) *EXP([6]Calc!$C$14/((M240+273.15)+((0.0065*64.6)/2)+(0.12*0.85*((6.112*EXP((17.67*M240)/(M240+243.5)))))))</f>
        <v>1023.3190381556055</v>
      </c>
      <c r="F240" s="93">
        <v>2</v>
      </c>
      <c r="G240" s="94">
        <v>15</v>
      </c>
      <c r="H240" s="32">
        <f t="shared" si="29"/>
        <v>10.5</v>
      </c>
      <c r="I240" s="84">
        <v>8</v>
      </c>
      <c r="J240" s="95">
        <v>2</v>
      </c>
      <c r="K240" s="84">
        <v>2</v>
      </c>
      <c r="L240" s="84">
        <v>0</v>
      </c>
      <c r="M240" s="96">
        <v>16.5</v>
      </c>
      <c r="N240" s="96">
        <v>12.8</v>
      </c>
      <c r="O240" s="93">
        <f t="shared" si="30"/>
        <v>62.96945227687285</v>
      </c>
      <c r="P240" s="96">
        <f t="shared" si="32"/>
        <v>9.4307963219831361</v>
      </c>
      <c r="Q240" s="97">
        <v>15</v>
      </c>
      <c r="R240" s="96">
        <v>18</v>
      </c>
      <c r="S240" s="96">
        <v>18.600000000000001</v>
      </c>
      <c r="T240" s="96">
        <v>19.100000000000001</v>
      </c>
      <c r="U240" s="96">
        <v>9.9</v>
      </c>
      <c r="V240" s="96">
        <f t="shared" si="31"/>
        <v>14.5</v>
      </c>
      <c r="W240" s="96">
        <v>7.4</v>
      </c>
      <c r="X240" s="96">
        <v>8.5</v>
      </c>
      <c r="Y240" s="98">
        <v>0</v>
      </c>
      <c r="Z240" s="99">
        <v>5.8</v>
      </c>
    </row>
    <row r="241" spans="1:26">
      <c r="A241" s="78">
        <f t="shared" si="27"/>
        <v>45530</v>
      </c>
      <c r="B241" s="91">
        <v>30.052</v>
      </c>
      <c r="C241" s="92">
        <f t="shared" si="28"/>
        <v>1017.67732176</v>
      </c>
      <c r="D241" s="92">
        <v>70.900000000000006</v>
      </c>
      <c r="E241" s="92">
        <f>(C241-0.163*((D241-32)*5/9) + (0.5685 *((C241-0.163*((D241-32)*5/9)))/1000)) *EXP([6]Calc!$C$14/((M241+273.15)+((0.0065*64.6)/2)+(0.12*0.85*((6.112*EXP((17.67*M241)/(M241+243.5)))))))</f>
        <v>1022.394179721403</v>
      </c>
      <c r="F241" s="93">
        <v>2</v>
      </c>
      <c r="G241" s="94">
        <v>2</v>
      </c>
      <c r="H241" s="32">
        <f t="shared" si="29"/>
        <v>1.4</v>
      </c>
      <c r="I241" s="84">
        <v>8</v>
      </c>
      <c r="J241" s="95">
        <v>2</v>
      </c>
      <c r="K241" s="84">
        <v>0</v>
      </c>
      <c r="L241" s="84">
        <v>0</v>
      </c>
      <c r="M241" s="96">
        <v>17.899999999999999</v>
      </c>
      <c r="N241" s="96">
        <v>14.4</v>
      </c>
      <c r="O241" s="93">
        <f t="shared" si="30"/>
        <v>66.320067380413747</v>
      </c>
      <c r="P241" s="96">
        <f t="shared" si="32"/>
        <v>11.536822543013285</v>
      </c>
      <c r="Q241" s="97">
        <v>15.9</v>
      </c>
      <c r="R241" s="96">
        <v>17.8</v>
      </c>
      <c r="S241" s="96">
        <v>18.2</v>
      </c>
      <c r="T241" s="96">
        <v>21.7</v>
      </c>
      <c r="U241" s="96">
        <v>13.2</v>
      </c>
      <c r="V241" s="96">
        <f t="shared" si="31"/>
        <v>17.45</v>
      </c>
      <c r="W241" s="96">
        <v>10.6</v>
      </c>
      <c r="X241" s="96">
        <v>11.9</v>
      </c>
      <c r="Y241" s="98" t="s">
        <v>22</v>
      </c>
      <c r="Z241" s="99">
        <v>5.0999999999999996</v>
      </c>
    </row>
    <row r="242" spans="1:26">
      <c r="A242" s="78">
        <f t="shared" si="27"/>
        <v>45531</v>
      </c>
      <c r="B242" s="91">
        <v>29.928000000000001</v>
      </c>
      <c r="C242" s="92">
        <f t="shared" si="28"/>
        <v>1013.4782006400001</v>
      </c>
      <c r="D242" s="92">
        <v>69.8</v>
      </c>
      <c r="E242" s="92">
        <f>(C242-0.163*((D242-32)*5/9) + (0.5685 *((C242-0.163*((D242-32)*5/9)))/1000)) *EXP([6]Calc!$C$14/((M242+273.15)+((0.0065*64.6)/2)+(0.12*0.85*((6.112*EXP((17.67*M242)/(M242+243.5)))))))</f>
        <v>1018.2406858389585</v>
      </c>
      <c r="F242" s="93">
        <v>8</v>
      </c>
      <c r="G242" s="94">
        <v>7</v>
      </c>
      <c r="H242" s="32">
        <f t="shared" si="29"/>
        <v>4.8999999999999995</v>
      </c>
      <c r="I242" s="84">
        <v>8</v>
      </c>
      <c r="J242" s="95">
        <v>2</v>
      </c>
      <c r="K242" s="84">
        <v>1</v>
      </c>
      <c r="L242" s="84">
        <v>0</v>
      </c>
      <c r="M242" s="96">
        <v>18.600000000000001</v>
      </c>
      <c r="N242" s="96">
        <v>16.3</v>
      </c>
      <c r="O242" s="93">
        <f t="shared" si="30"/>
        <v>77.882546620032102</v>
      </c>
      <c r="P242" s="96">
        <f t="shared" si="32"/>
        <v>14.668843945639065</v>
      </c>
      <c r="Q242" s="97">
        <v>16.8</v>
      </c>
      <c r="R242" s="96">
        <v>18.100000000000001</v>
      </c>
      <c r="S242" s="96">
        <v>18.100000000000001</v>
      </c>
      <c r="T242" s="96">
        <v>24.6</v>
      </c>
      <c r="U242" s="96">
        <v>11</v>
      </c>
      <c r="V242" s="96">
        <f t="shared" si="31"/>
        <v>17.8</v>
      </c>
      <c r="W242" s="96">
        <v>11</v>
      </c>
      <c r="X242" s="96">
        <v>12.5</v>
      </c>
      <c r="Y242" s="98" t="s">
        <v>22</v>
      </c>
      <c r="Z242" s="99">
        <v>4.0999999999999996</v>
      </c>
    </row>
    <row r="243" spans="1:26">
      <c r="A243" s="78">
        <f t="shared" si="27"/>
        <v>45532</v>
      </c>
      <c r="B243" s="91">
        <v>29.788</v>
      </c>
      <c r="C243" s="92">
        <f t="shared" si="28"/>
        <v>1008.73725744</v>
      </c>
      <c r="D243" s="92">
        <v>71.5</v>
      </c>
      <c r="E243" s="92">
        <f>(C243-0.163*((D243-32)*5/9) + (0.5685 *((C243-0.163*((D243-32)*5/9)))/1000)) *EXP([6]Calc!$C$14/((M243+273.15)+((0.0065*64.6)/2)+(0.12*0.85*((6.112*EXP((17.67*M243)/(M243+243.5)))))))</f>
        <v>1013.2855691065374</v>
      </c>
      <c r="F243" s="93">
        <v>8</v>
      </c>
      <c r="G243" s="94">
        <v>5</v>
      </c>
      <c r="H243" s="32">
        <f t="shared" si="29"/>
        <v>3.5</v>
      </c>
      <c r="I243" s="84">
        <v>8</v>
      </c>
      <c r="J243" s="95">
        <v>2</v>
      </c>
      <c r="K243" s="84">
        <v>1</v>
      </c>
      <c r="L243" s="84">
        <v>0</v>
      </c>
      <c r="M243" s="96">
        <v>19.3</v>
      </c>
      <c r="N243" s="96">
        <v>15.8</v>
      </c>
      <c r="O243" s="93">
        <f t="shared" si="30"/>
        <v>67.658283785985759</v>
      </c>
      <c r="P243" s="96">
        <f t="shared" si="32"/>
        <v>13.174846187056406</v>
      </c>
      <c r="Q243" s="97">
        <v>17.5</v>
      </c>
      <c r="R243" s="96">
        <v>18.5</v>
      </c>
      <c r="S243" s="96">
        <v>18.100000000000001</v>
      </c>
      <c r="T243" s="96">
        <v>25.5</v>
      </c>
      <c r="U243" s="96">
        <v>14.6</v>
      </c>
      <c r="V243" s="96">
        <f t="shared" si="31"/>
        <v>20.05</v>
      </c>
      <c r="W243" s="96">
        <v>13.1</v>
      </c>
      <c r="X243" s="96">
        <v>14.9</v>
      </c>
      <c r="Y243" s="98" t="s">
        <v>61</v>
      </c>
      <c r="Z243" s="99">
        <v>1.8</v>
      </c>
    </row>
    <row r="244" spans="1:26">
      <c r="A244" s="78">
        <f t="shared" si="27"/>
        <v>45533</v>
      </c>
      <c r="B244" s="91">
        <v>29.96</v>
      </c>
      <c r="C244" s="92">
        <f t="shared" si="28"/>
        <v>1014.5618448000001</v>
      </c>
      <c r="D244" s="92">
        <v>71.400000000000006</v>
      </c>
      <c r="E244" s="92">
        <f>(C244-0.163*((D244-32)*5/9) + (0.5685 *((C244-0.163*((D244-32)*5/9)))/1000)) *EXP([6]Calc!$C$14/((M244+273.15)+((0.0065*64.6)/2)+(0.12*0.85*((6.112*EXP((17.67*M244)/(M244+243.5)))))))</f>
        <v>1019.2195806011961</v>
      </c>
      <c r="F244" s="93">
        <v>2</v>
      </c>
      <c r="G244" s="94">
        <v>8</v>
      </c>
      <c r="H244" s="32">
        <f t="shared" si="29"/>
        <v>5.6</v>
      </c>
      <c r="I244" s="84">
        <v>8</v>
      </c>
      <c r="J244" s="95">
        <v>2</v>
      </c>
      <c r="K244" s="84">
        <v>0</v>
      </c>
      <c r="L244" s="84">
        <v>0</v>
      </c>
      <c r="M244" s="96">
        <v>17.5</v>
      </c>
      <c r="N244" s="96">
        <v>13.4</v>
      </c>
      <c r="O244" s="93">
        <f t="shared" si="30"/>
        <v>60.45516912465623</v>
      </c>
      <c r="P244" s="96">
        <f t="shared" si="32"/>
        <v>9.7681231336304482</v>
      </c>
      <c r="Q244" s="97">
        <v>16.5</v>
      </c>
      <c r="R244" s="96">
        <v>18.8</v>
      </c>
      <c r="S244" s="96">
        <v>18.2</v>
      </c>
      <c r="T244" s="96">
        <v>21.3</v>
      </c>
      <c r="U244" s="96">
        <v>11.3</v>
      </c>
      <c r="V244" s="96">
        <f t="shared" si="31"/>
        <v>16.3</v>
      </c>
      <c r="W244" s="96">
        <v>7.8</v>
      </c>
      <c r="X244" s="96">
        <v>9.9</v>
      </c>
      <c r="Y244" s="98">
        <v>0</v>
      </c>
      <c r="Z244" s="99">
        <f>7.8+AB244</f>
        <v>7.8</v>
      </c>
    </row>
    <row r="245" spans="1:26">
      <c r="A245" s="78">
        <f t="shared" si="27"/>
        <v>45534</v>
      </c>
      <c r="B245" s="91">
        <v>30.02</v>
      </c>
      <c r="C245" s="92">
        <f t="shared" si="28"/>
        <v>1016.5936776000001</v>
      </c>
      <c r="D245" s="92">
        <v>70.8</v>
      </c>
      <c r="E245" s="92">
        <f>(C245-0.163*((D245-32)*5/9) + (0.5685 *((C245-0.163*((D245-32)*5/9)))/1000)) *EXP([6]Calc!$C$14/((M245+273.15)+((0.0065*64.6)/2)+(0.12*0.85*((6.112*EXP((17.67*M245)/(M245+243.5)))))))</f>
        <v>1021.3286523690759</v>
      </c>
      <c r="F245" s="93">
        <v>1</v>
      </c>
      <c r="G245" s="94">
        <v>2</v>
      </c>
      <c r="H245" s="32">
        <f t="shared" si="29"/>
        <v>1.4</v>
      </c>
      <c r="I245" s="84">
        <v>7</v>
      </c>
      <c r="J245" s="95">
        <v>2</v>
      </c>
      <c r="K245" s="84">
        <v>1</v>
      </c>
      <c r="L245" s="84">
        <v>0</v>
      </c>
      <c r="M245" s="96">
        <v>17.3</v>
      </c>
      <c r="N245" s="96">
        <v>13.9</v>
      </c>
      <c r="O245" s="93">
        <f t="shared" si="30"/>
        <v>66.636149061065467</v>
      </c>
      <c r="P245" s="96">
        <f t="shared" si="32"/>
        <v>11.03722214639887</v>
      </c>
      <c r="Q245" s="97">
        <v>16</v>
      </c>
      <c r="R245" s="96">
        <v>18.5</v>
      </c>
      <c r="S245" s="96">
        <v>18.2</v>
      </c>
      <c r="T245" s="96">
        <v>22.3</v>
      </c>
      <c r="U245" s="96">
        <v>8.6</v>
      </c>
      <c r="V245" s="96">
        <f t="shared" si="31"/>
        <v>15.45</v>
      </c>
      <c r="W245" s="96">
        <v>5.7</v>
      </c>
      <c r="X245" s="96">
        <v>8.1</v>
      </c>
      <c r="Y245" s="98">
        <v>0</v>
      </c>
      <c r="Z245" s="99">
        <v>12.5</v>
      </c>
    </row>
    <row r="246" spans="1:26">
      <c r="A246" s="78">
        <f t="shared" si="27"/>
        <v>45535</v>
      </c>
      <c r="B246" s="91">
        <v>30.05</v>
      </c>
      <c r="C246" s="92">
        <f t="shared" si="28"/>
        <v>1017.6095940000001</v>
      </c>
      <c r="D246" s="92">
        <v>70.8</v>
      </c>
      <c r="E246" s="92">
        <f>(C246-0.163*((D246-32)*5/9) + (0.5685 *((C246-0.163*((D246-32)*5/9)))/1000)) *EXP([6]Calc!$C$14/((M246+273.15)+((0.0065*64.6)/2)+(0.12*0.85*((6.112*EXP((17.67*M246)/(M246+243.5)))))))</f>
        <v>1022.346902223772</v>
      </c>
      <c r="F246" s="93">
        <v>7</v>
      </c>
      <c r="G246" s="94">
        <v>12</v>
      </c>
      <c r="H246" s="32">
        <f t="shared" si="29"/>
        <v>8.3999999999999986</v>
      </c>
      <c r="I246" s="84">
        <v>7</v>
      </c>
      <c r="J246" s="95">
        <v>3</v>
      </c>
      <c r="K246" s="84">
        <v>1</v>
      </c>
      <c r="L246" s="84">
        <v>0</v>
      </c>
      <c r="M246" s="96">
        <v>17.5</v>
      </c>
      <c r="N246" s="96">
        <v>14.6</v>
      </c>
      <c r="O246" s="93">
        <f t="shared" si="30"/>
        <v>71.483322411705558</v>
      </c>
      <c r="P246" s="96">
        <f t="shared" si="32"/>
        <v>12.291058546688266</v>
      </c>
      <c r="Q246" s="97">
        <v>16.8</v>
      </c>
      <c r="R246" s="96">
        <v>18.3</v>
      </c>
      <c r="S246" s="96">
        <v>18.100000000000001</v>
      </c>
      <c r="T246" s="96">
        <v>19.5</v>
      </c>
      <c r="U246" s="96">
        <v>10.4</v>
      </c>
      <c r="V246" s="96">
        <f t="shared" si="31"/>
        <v>14.95</v>
      </c>
      <c r="W246" s="96">
        <v>8.1</v>
      </c>
      <c r="X246" s="96">
        <v>9.9</v>
      </c>
      <c r="Y246" s="98">
        <v>0.4</v>
      </c>
      <c r="Z246" s="99">
        <v>2.1</v>
      </c>
    </row>
    <row r="247" spans="1:26">
      <c r="A247" s="78">
        <f t="shared" si="27"/>
        <v>45536</v>
      </c>
      <c r="B247" s="91">
        <v>29.856000000000002</v>
      </c>
      <c r="C247" s="92">
        <f>B247*33.86388</f>
        <v>1011.0400012800001</v>
      </c>
      <c r="D247" s="92">
        <v>70.8</v>
      </c>
      <c r="E247" s="92">
        <f>(C247-0.163*((D247-32)*5/9) + (0.5685 *((C247-0.163*((D247-32)*5/9)))/1000)) *EXP([7]Calc!$C$14/((M247+273.15)+((0.0065*64.6)/2)+(0.12*0.85*((6.112*EXP((17.67*M247)/(M247+243.5)))))))</f>
        <v>1015.6796592871716</v>
      </c>
      <c r="F247" s="93">
        <v>7</v>
      </c>
      <c r="G247" s="94">
        <v>8</v>
      </c>
      <c r="H247" s="32">
        <f>G247*0.7</f>
        <v>5.6</v>
      </c>
      <c r="I247" s="84">
        <v>8</v>
      </c>
      <c r="J247" s="95">
        <v>1</v>
      </c>
      <c r="K247" s="84">
        <v>0</v>
      </c>
      <c r="L247" s="84">
        <v>0</v>
      </c>
      <c r="M247" s="96">
        <v>19</v>
      </c>
      <c r="N247" s="96">
        <v>17.100000000000001</v>
      </c>
      <c r="O247" s="93">
        <f>IF(M247&gt;0,100*(((6.112*EXP((17.67*N247)/(N247+243.5)))-0.8*(M247-N247))/(6.112*EXP((17.67*M247)/(M247+243.5)))),100*(((6.109*EXP((22.5*N247)/(N247+273)))-0.8*(M247-N247))/(6.109*EXP((22.5*M247)/(M247+273)))))</f>
        <v>81.814317736628539</v>
      </c>
      <c r="P247" s="96">
        <f t="shared" si="32"/>
        <v>15.824417783445941</v>
      </c>
      <c r="Q247" s="97">
        <v>17.8</v>
      </c>
      <c r="R247" s="96">
        <v>18.2</v>
      </c>
      <c r="S247" s="96">
        <v>18</v>
      </c>
      <c r="T247" s="96">
        <v>27</v>
      </c>
      <c r="U247" s="96">
        <v>15.1</v>
      </c>
      <c r="V247" s="96">
        <f>AVERAGE(T247:U247)</f>
        <v>21.05</v>
      </c>
      <c r="W247" s="96">
        <v>13.5</v>
      </c>
      <c r="X247" s="96">
        <v>14.5</v>
      </c>
      <c r="Y247" s="98">
        <v>0.1</v>
      </c>
      <c r="Z247" s="99">
        <v>4.9000000000000004</v>
      </c>
    </row>
    <row r="248" spans="1:26">
      <c r="A248" s="78">
        <f t="shared" si="27"/>
        <v>45537</v>
      </c>
      <c r="B248" s="91">
        <v>29.712</v>
      </c>
      <c r="C248" s="92">
        <f t="shared" ref="C248:C276" si="33">B248*33.86388</f>
        <v>1006.1636025600001</v>
      </c>
      <c r="D248" s="92">
        <v>71.8</v>
      </c>
      <c r="E248" s="92">
        <f>(C248-0.163*((D248-32)*5/9) + (0.5685 *((C248-0.163*((D248-32)*5/9)))/1000)) *EXP([7]Calc!$C$14/((M248+273.15)+((0.0065*64.6)/2)+(0.12*0.85*((6.112*EXP((17.67*M248)/(M248+243.5)))))))</f>
        <v>1010.6403031348357</v>
      </c>
      <c r="F248" s="93">
        <v>8</v>
      </c>
      <c r="G248" s="94">
        <v>6</v>
      </c>
      <c r="H248" s="32">
        <f t="shared" ref="H248:H276" si="34">G248*0.7</f>
        <v>4.1999999999999993</v>
      </c>
      <c r="I248" s="84">
        <v>7</v>
      </c>
      <c r="J248" s="95">
        <v>50</v>
      </c>
      <c r="K248" s="84">
        <v>1</v>
      </c>
      <c r="L248" s="84">
        <v>0</v>
      </c>
      <c r="M248" s="96">
        <v>20.100000000000001</v>
      </c>
      <c r="N248" s="96">
        <v>19</v>
      </c>
      <c r="O248" s="93">
        <f t="shared" ref="O248:O276" si="35">IF(M248&gt;0,100*(((6.112*EXP((17.67*N248)/(N248+243.5)))-0.8*(M248-N248))/(6.112*EXP((17.67*M248)/(M248+243.5)))),100*(((6.109*EXP((22.5*N248)/(N248+273)))-0.8*(M248-N248))/(6.109*EXP((22.5*M248)/(M248+273)))))</f>
        <v>89.646380400465858</v>
      </c>
      <c r="P248" s="96">
        <f>IF(M248&gt;0, (243.5*LN(((6.112*EXP((17.67*N248)/(N248+243.5)))-0.8*(M248-N248))/6.112))/(17.67-LN(((6.112*EXP((17.67*N248)/(N248+243.5)))-0.8*(M248-N248))/6.112)),(273*LN(((6.109*EXP((22.5*N248)/(N248+273)))-0.8*(M248-N248))/6.109))/(22.5-LN(((6.109*EXP((22.5*N248)/(N248+273)))-0.8*(M248-N248))/6.109)))</f>
        <v>18.346658127799344</v>
      </c>
      <c r="Q248" s="97">
        <v>20.399999999999999</v>
      </c>
      <c r="R248" s="96">
        <v>19.399999999999999</v>
      </c>
      <c r="S248" s="96">
        <v>17.8</v>
      </c>
      <c r="T248" s="96">
        <v>22.6</v>
      </c>
      <c r="U248" s="96">
        <v>14.9</v>
      </c>
      <c r="V248" s="96">
        <f t="shared" ref="V248:V276" si="36">AVERAGE(T248:U248)</f>
        <v>18.75</v>
      </c>
      <c r="W248" s="96">
        <v>14.8</v>
      </c>
      <c r="X248" s="96">
        <v>15.9</v>
      </c>
      <c r="Y248" s="98">
        <v>1.9</v>
      </c>
      <c r="Z248" s="99">
        <v>0.6</v>
      </c>
    </row>
    <row r="249" spans="1:26">
      <c r="A249" s="78">
        <f t="shared" si="27"/>
        <v>45538</v>
      </c>
      <c r="B249" s="91">
        <v>29.783999999999999</v>
      </c>
      <c r="C249" s="92">
        <f t="shared" si="33"/>
        <v>1008.6018019200001</v>
      </c>
      <c r="D249" s="92">
        <v>71.599999999999994</v>
      </c>
      <c r="E249" s="92">
        <f>(C249-0.163*((D249-32)*5/9) + (0.5685 *((C249-0.163*((D249-32)*5/9)))/1000)) *EXP([7]Calc!$C$14/((M249+273.15)+((0.0065*64.6)/2)+(0.12*0.85*((6.112*EXP((17.67*M249)/(M249+243.5)))))))</f>
        <v>1013.2075030193249</v>
      </c>
      <c r="F249" s="93">
        <v>8</v>
      </c>
      <c r="G249" s="94">
        <v>7</v>
      </c>
      <c r="H249" s="32">
        <f t="shared" si="34"/>
        <v>4.8999999999999995</v>
      </c>
      <c r="I249" s="84">
        <v>7</v>
      </c>
      <c r="J249" s="95">
        <v>50</v>
      </c>
      <c r="K249" s="84">
        <v>1</v>
      </c>
      <c r="L249" s="84">
        <v>0</v>
      </c>
      <c r="M249" s="96">
        <v>17</v>
      </c>
      <c r="N249" s="96">
        <v>16.3</v>
      </c>
      <c r="O249" s="93">
        <f t="shared" si="35"/>
        <v>92.755238655959133</v>
      </c>
      <c r="P249" s="96">
        <f t="shared" ref="P249:P277" si="37">IF(M249&gt;0, (243.5*LN(((6.112*EXP((17.67*N249)/(N249+243.5)))-0.8*(M249-N249))/6.112))/(17.67-LN(((6.112*EXP((17.67*N249)/(N249+243.5)))-0.8*(M249-N249))/6.112)),(273*LN(((6.109*EXP((22.5*N249)/(N249+273)))-0.8*(M249-N249))/6.109))/(22.5-LN(((6.109*EXP((22.5*N249)/(N249+273)))-0.8*(M249-N249))/6.109)))</f>
        <v>15.819245852890607</v>
      </c>
      <c r="Q249" s="97">
        <v>19.5</v>
      </c>
      <c r="R249" s="96">
        <v>19.5</v>
      </c>
      <c r="S249" s="96">
        <v>18</v>
      </c>
      <c r="T249" s="96">
        <v>18.5</v>
      </c>
      <c r="U249" s="96">
        <v>16.600000000000001</v>
      </c>
      <c r="V249" s="96">
        <f t="shared" si="36"/>
        <v>17.55</v>
      </c>
      <c r="W249" s="96">
        <v>17.5</v>
      </c>
      <c r="X249" s="96">
        <v>17</v>
      </c>
      <c r="Y249" s="98" t="s">
        <v>22</v>
      </c>
      <c r="Z249" s="99">
        <v>0.7</v>
      </c>
    </row>
    <row r="250" spans="1:26">
      <c r="A250" s="78">
        <f t="shared" si="27"/>
        <v>45539</v>
      </c>
      <c r="B250" s="91">
        <v>29.867999999999999</v>
      </c>
      <c r="C250" s="92">
        <f t="shared" si="33"/>
        <v>1011.44636784</v>
      </c>
      <c r="D250" s="92">
        <v>68.2</v>
      </c>
      <c r="E250" s="92">
        <f>(C250-0.163*((D250-32)*5/9) + (0.5685 *((C250-0.163*((D250-32)*5/9)))/1000)) *EXP([7]Calc!$C$14/((M250+273.15)+((0.0065*64.6)/2)+(0.12*0.85*((6.112*EXP((17.67*M250)/(M250+243.5)))))))</f>
        <v>1016.4388952693389</v>
      </c>
      <c r="F250" s="93">
        <v>5</v>
      </c>
      <c r="G250" s="94">
        <v>10</v>
      </c>
      <c r="H250" s="32">
        <f t="shared" si="34"/>
        <v>7</v>
      </c>
      <c r="I250" s="84">
        <v>8</v>
      </c>
      <c r="J250" s="95">
        <v>2</v>
      </c>
      <c r="K250" s="84">
        <v>1</v>
      </c>
      <c r="L250" s="84">
        <v>0</v>
      </c>
      <c r="M250" s="96">
        <v>15.2</v>
      </c>
      <c r="N250" s="96">
        <v>12.4</v>
      </c>
      <c r="O250" s="93">
        <f t="shared" si="35"/>
        <v>70.384599347255886</v>
      </c>
      <c r="P250" s="96">
        <f t="shared" si="37"/>
        <v>9.8502746011646138</v>
      </c>
      <c r="Q250" s="97">
        <v>16.399999999999999</v>
      </c>
      <c r="R250" s="96">
        <v>18.899999999999999</v>
      </c>
      <c r="S250" s="96">
        <v>18.100000000000001</v>
      </c>
      <c r="T250" s="96">
        <v>18.7</v>
      </c>
      <c r="U250" s="96">
        <v>10.1</v>
      </c>
      <c r="V250" s="96">
        <f t="shared" si="36"/>
        <v>14.399999999999999</v>
      </c>
      <c r="W250" s="96">
        <v>6.4</v>
      </c>
      <c r="X250" s="96">
        <v>8.8000000000000007</v>
      </c>
      <c r="Y250" s="98">
        <v>1</v>
      </c>
      <c r="Z250" s="99">
        <v>1.5</v>
      </c>
    </row>
    <row r="251" spans="1:26">
      <c r="A251" s="78">
        <f t="shared" si="27"/>
        <v>45540</v>
      </c>
      <c r="B251" s="91">
        <v>29.832000000000001</v>
      </c>
      <c r="C251" s="92">
        <f t="shared" si="33"/>
        <v>1010.2272681600001</v>
      </c>
      <c r="D251" s="92">
        <v>69.5</v>
      </c>
      <c r="E251" s="92">
        <f>(C251-0.163*((D251-32)*5/9) + (0.5685 *((C251-0.163*((D251-32)*5/9)))/1000)) *EXP([7]Calc!$C$14/((M251+273.15)+((0.0065*64.6)/2)+(0.12*0.85*((6.112*EXP((17.67*M251)/(M251+243.5)))))))</f>
        <v>1015.0999855833278</v>
      </c>
      <c r="F251" s="93">
        <v>8</v>
      </c>
      <c r="G251" s="94">
        <v>8</v>
      </c>
      <c r="H251" s="32">
        <f t="shared" si="34"/>
        <v>5.6</v>
      </c>
      <c r="I251" s="84">
        <v>8</v>
      </c>
      <c r="J251" s="95">
        <v>2</v>
      </c>
      <c r="K251" s="84">
        <v>1</v>
      </c>
      <c r="L251" s="84">
        <v>0</v>
      </c>
      <c r="M251" s="96">
        <v>14.9</v>
      </c>
      <c r="N251" s="96">
        <v>14.5</v>
      </c>
      <c r="O251" s="93">
        <f t="shared" si="35"/>
        <v>95.561456120653816</v>
      </c>
      <c r="P251" s="96">
        <f t="shared" si="37"/>
        <v>14.197366560541296</v>
      </c>
      <c r="Q251" s="97">
        <v>15.4</v>
      </c>
      <c r="R251" s="96">
        <v>18.2</v>
      </c>
      <c r="S251" s="96">
        <v>18</v>
      </c>
      <c r="T251" s="96">
        <v>17.899999999999999</v>
      </c>
      <c r="U251" s="96">
        <v>10.8</v>
      </c>
      <c r="V251" s="96">
        <f t="shared" si="36"/>
        <v>14.35</v>
      </c>
      <c r="W251" s="96">
        <v>7</v>
      </c>
      <c r="X251" s="96">
        <v>10.8</v>
      </c>
      <c r="Y251" s="98">
        <v>6.7</v>
      </c>
      <c r="Z251" s="99">
        <f>SUM(0+AB251)</f>
        <v>0</v>
      </c>
    </row>
    <row r="252" spans="1:26">
      <c r="A252" s="78">
        <f t="shared" si="27"/>
        <v>45541</v>
      </c>
      <c r="B252" s="91">
        <v>29.736000000000001</v>
      </c>
      <c r="C252" s="92">
        <f t="shared" si="33"/>
        <v>1006.97633568</v>
      </c>
      <c r="D252" s="92">
        <v>70.8</v>
      </c>
      <c r="E252" s="92">
        <f>(C252-0.163*((D252-32)*5/9) + (0.5685 *((C252-0.163*((D252-32)*5/9)))/1000)) *EXP([7]Calc!$C$14/((M252+273.15)+((0.0065*64.6)/2)+(0.12*0.85*((6.112*EXP((17.67*M252)/(M252+243.5)))))))</f>
        <v>1011.6300675854881</v>
      </c>
      <c r="F252" s="93">
        <v>8</v>
      </c>
      <c r="G252" s="94">
        <v>5</v>
      </c>
      <c r="H252" s="32">
        <f t="shared" si="34"/>
        <v>3.5</v>
      </c>
      <c r="I252" s="84">
        <v>4</v>
      </c>
      <c r="J252" s="95">
        <v>51</v>
      </c>
      <c r="K252" s="84">
        <v>1</v>
      </c>
      <c r="L252" s="84">
        <v>0</v>
      </c>
      <c r="M252" s="96">
        <v>17.399999999999999</v>
      </c>
      <c r="N252" s="96">
        <v>17.2</v>
      </c>
      <c r="O252" s="93">
        <f t="shared" si="35"/>
        <v>97.937154109629049</v>
      </c>
      <c r="P252" s="96">
        <f t="shared" si="37"/>
        <v>17.070656381282227</v>
      </c>
      <c r="Q252" s="97">
        <v>17.8</v>
      </c>
      <c r="R252" s="96">
        <v>18</v>
      </c>
      <c r="S252" s="96">
        <v>17.899999999999999</v>
      </c>
      <c r="T252" s="96">
        <v>23.3</v>
      </c>
      <c r="U252" s="96">
        <v>14.8</v>
      </c>
      <c r="V252" s="96">
        <f t="shared" si="36"/>
        <v>19.05</v>
      </c>
      <c r="W252" s="96">
        <v>15.8</v>
      </c>
      <c r="X252" s="96">
        <v>15</v>
      </c>
      <c r="Y252" s="98">
        <v>0.4</v>
      </c>
      <c r="Z252" s="99">
        <f>2.2+AB252</f>
        <v>2.2000000000000002</v>
      </c>
    </row>
    <row r="253" spans="1:26">
      <c r="A253" s="78">
        <f t="shared" si="27"/>
        <v>45542</v>
      </c>
      <c r="B253" s="91">
        <v>29.675999999999998</v>
      </c>
      <c r="C253" s="92">
        <f t="shared" si="33"/>
        <v>1004.94450288</v>
      </c>
      <c r="D253" s="92">
        <v>70.599999999999994</v>
      </c>
      <c r="E253" s="92">
        <f>(C253-0.163*((D253-32)*5/9) + (0.5685 *((C253-0.163*((D253-32)*5/9)))/1000)) *EXP([7]Calc!$C$14/((M253+273.15)+((0.0065*64.6)/2)+(0.12*0.85*((6.112*EXP((17.67*M253)/(M253+243.5)))))))</f>
        <v>1009.6263623408827</v>
      </c>
      <c r="F253" s="93">
        <v>8</v>
      </c>
      <c r="G253" s="94">
        <v>0</v>
      </c>
      <c r="H253" s="32">
        <f t="shared" si="34"/>
        <v>0</v>
      </c>
      <c r="I253" s="84">
        <v>8</v>
      </c>
      <c r="J253" s="95">
        <v>2</v>
      </c>
      <c r="K253" s="84">
        <v>1</v>
      </c>
      <c r="L253" s="84">
        <v>0</v>
      </c>
      <c r="M253" s="96">
        <v>16.5</v>
      </c>
      <c r="N253" s="96">
        <v>16</v>
      </c>
      <c r="O253" s="93">
        <f t="shared" si="35"/>
        <v>94.729311623161436</v>
      </c>
      <c r="P253" s="96">
        <f t="shared" si="37"/>
        <v>15.652061027417512</v>
      </c>
      <c r="Q253" s="97">
        <v>18.2</v>
      </c>
      <c r="R253" s="96">
        <v>18.8</v>
      </c>
      <c r="S253" s="96">
        <v>16.899999999999999</v>
      </c>
      <c r="T253" s="96">
        <v>19.5</v>
      </c>
      <c r="U253" s="96">
        <v>15.6</v>
      </c>
      <c r="V253" s="96">
        <f t="shared" si="36"/>
        <v>17.55</v>
      </c>
      <c r="W253" s="96">
        <v>16.2</v>
      </c>
      <c r="X253" s="96">
        <v>15.5</v>
      </c>
      <c r="Y253" s="98">
        <v>6.9</v>
      </c>
      <c r="Z253" s="99">
        <v>0</v>
      </c>
    </row>
    <row r="254" spans="1:26">
      <c r="A254" s="78">
        <f t="shared" si="27"/>
        <v>45543</v>
      </c>
      <c r="B254" s="91">
        <v>29.56</v>
      </c>
      <c r="C254" s="92">
        <f t="shared" si="33"/>
        <v>1001.0162928</v>
      </c>
      <c r="D254" s="92">
        <v>70.8</v>
      </c>
      <c r="E254" s="92">
        <f>(C254-0.163*((D254-32)*5/9) + (0.5685 *((C254-0.163*((D254-32)*5/9)))/1000)) *EXP([7]Calc!$C$14/((M254+273.15)+((0.0065*64.6)/2)+(0.12*0.85*((6.112*EXP((17.67*M254)/(M254+243.5)))))))</f>
        <v>1005.6683015612606</v>
      </c>
      <c r="F254" s="93">
        <v>7</v>
      </c>
      <c r="G254" s="94">
        <v>6</v>
      </c>
      <c r="H254" s="32">
        <f t="shared" si="34"/>
        <v>4.1999999999999993</v>
      </c>
      <c r="I254" s="84">
        <v>6</v>
      </c>
      <c r="J254" s="95">
        <v>50</v>
      </c>
      <c r="K254" s="84">
        <v>1</v>
      </c>
      <c r="L254" s="84">
        <v>0</v>
      </c>
      <c r="M254" s="96">
        <v>15.8</v>
      </c>
      <c r="N254" s="96">
        <v>15.2</v>
      </c>
      <c r="O254" s="93">
        <f t="shared" si="35"/>
        <v>93.548825154969151</v>
      </c>
      <c r="P254" s="96">
        <f t="shared" si="37"/>
        <v>14.762073003901339</v>
      </c>
      <c r="Q254" s="97">
        <v>17.3</v>
      </c>
      <c r="R254" s="96">
        <v>18.8</v>
      </c>
      <c r="S254" s="96">
        <v>17.899999999999999</v>
      </c>
      <c r="T254" s="96">
        <v>21.5</v>
      </c>
      <c r="U254" s="96">
        <v>13.5</v>
      </c>
      <c r="V254" s="96">
        <f t="shared" si="36"/>
        <v>17.5</v>
      </c>
      <c r="W254" s="96">
        <v>11.8</v>
      </c>
      <c r="X254" s="96">
        <v>13.7</v>
      </c>
      <c r="Y254" s="98">
        <v>0.6</v>
      </c>
      <c r="Z254" s="99">
        <v>3.9</v>
      </c>
    </row>
    <row r="255" spans="1:26">
      <c r="A255" s="78">
        <f t="shared" si="27"/>
        <v>45544</v>
      </c>
      <c r="B255" s="91">
        <v>29.745999999999999</v>
      </c>
      <c r="C255" s="92">
        <f t="shared" si="33"/>
        <v>1007.31497448</v>
      </c>
      <c r="D255" s="92">
        <v>69.599999999999994</v>
      </c>
      <c r="E255" s="92">
        <f>(C255-0.163*((D255-32)*5/9) + (0.5685 *((C255-0.163*((D255-32)*5/9)))/1000)) *EXP([7]Calc!$C$14/((M255+273.15)+((0.0065*64.6)/2)+(0.12*0.85*((6.112*EXP((17.67*M255)/(M255+243.5)))))))</f>
        <v>1012.1812375230901</v>
      </c>
      <c r="F255" s="93">
        <v>8</v>
      </c>
      <c r="G255" s="94">
        <v>10</v>
      </c>
      <c r="H255" s="32">
        <f t="shared" si="34"/>
        <v>7</v>
      </c>
      <c r="I255" s="84">
        <v>8</v>
      </c>
      <c r="J255" s="95">
        <v>50</v>
      </c>
      <c r="K255" s="84">
        <v>1</v>
      </c>
      <c r="L255" s="84">
        <v>0</v>
      </c>
      <c r="M255" s="96">
        <v>14</v>
      </c>
      <c r="N255" s="96">
        <v>11.8</v>
      </c>
      <c r="O255" s="93">
        <f t="shared" si="35"/>
        <v>75.571696621995486</v>
      </c>
      <c r="P255" s="96">
        <f t="shared" si="37"/>
        <v>9.7548355426341242</v>
      </c>
      <c r="Q255" s="97">
        <v>16.5</v>
      </c>
      <c r="R255" s="96">
        <v>18.899999999999999</v>
      </c>
      <c r="S255" s="96">
        <v>17.899999999999999</v>
      </c>
      <c r="T255" s="96">
        <v>18.3</v>
      </c>
      <c r="U255" s="96">
        <v>13.1</v>
      </c>
      <c r="V255" s="96">
        <f t="shared" si="36"/>
        <v>15.7</v>
      </c>
      <c r="W255" s="96">
        <v>12.9</v>
      </c>
      <c r="X255" s="96">
        <v>13.5</v>
      </c>
      <c r="Y255" s="98">
        <v>0.3</v>
      </c>
      <c r="Z255" s="99">
        <f>2.5+AB255</f>
        <v>2.5</v>
      </c>
    </row>
    <row r="256" spans="1:26">
      <c r="A256" s="78">
        <f t="shared" si="27"/>
        <v>45545</v>
      </c>
      <c r="B256" s="91">
        <v>29.6</v>
      </c>
      <c r="C256" s="92">
        <f t="shared" si="33"/>
        <v>1002.3708480000001</v>
      </c>
      <c r="D256" s="92">
        <v>69.400000000000006</v>
      </c>
      <c r="E256" s="92">
        <f>(C256-0.163*((D256-32)*5/9) + (0.5685 *((C256-0.163*((D256-32)*5/9)))/1000)) *EXP([7]Calc!$C$14/((M256+273.15)+((0.0065*64.6)/2)+(0.12*0.85*((6.112*EXP((17.67*M256)/(M256+243.5)))))))</f>
        <v>1007.1793651021497</v>
      </c>
      <c r="F256" s="93">
        <v>8</v>
      </c>
      <c r="G256" s="94">
        <v>15</v>
      </c>
      <c r="H256" s="32">
        <f t="shared" si="34"/>
        <v>10.5</v>
      </c>
      <c r="I256" s="84">
        <v>8</v>
      </c>
      <c r="J256" s="95">
        <v>2</v>
      </c>
      <c r="K256" s="84">
        <v>1</v>
      </c>
      <c r="L256" s="84">
        <v>0</v>
      </c>
      <c r="M256" s="96">
        <v>15.2</v>
      </c>
      <c r="N256" s="96">
        <v>14</v>
      </c>
      <c r="O256" s="93">
        <f t="shared" si="35"/>
        <v>86.980408285639598</v>
      </c>
      <c r="P256" s="96">
        <f t="shared" si="37"/>
        <v>13.048383742143988</v>
      </c>
      <c r="Q256" s="97">
        <v>15</v>
      </c>
      <c r="R256" s="96">
        <v>17.899999999999999</v>
      </c>
      <c r="S256" s="96">
        <v>17.899999999999999</v>
      </c>
      <c r="T256" s="96">
        <v>17.899999999999999</v>
      </c>
      <c r="U256" s="96">
        <v>10.9</v>
      </c>
      <c r="V256" s="96">
        <f t="shared" si="36"/>
        <v>14.399999999999999</v>
      </c>
      <c r="W256" s="96">
        <v>8</v>
      </c>
      <c r="X256" s="96">
        <v>10.6</v>
      </c>
      <c r="Y256" s="98">
        <v>5.9</v>
      </c>
      <c r="Z256" s="99">
        <v>0</v>
      </c>
    </row>
    <row r="257" spans="1:26">
      <c r="A257" s="78">
        <f t="shared" si="27"/>
        <v>45546</v>
      </c>
      <c r="B257" s="91">
        <v>29.623999999999999</v>
      </c>
      <c r="C257" s="92">
        <f t="shared" si="33"/>
        <v>1003.18358112</v>
      </c>
      <c r="D257" s="92">
        <v>68.400000000000006</v>
      </c>
      <c r="E257" s="92">
        <f>(C257-0.163*((D257-32)*5/9) + (0.5685 *((C257-0.163*((D257-32)*5/9)))/1000)) *EXP([7]Calc!$C$14/((M257+273.15)+((0.0065*64.6)/2)+(0.12*0.85*((6.112*EXP((17.67*M257)/(M257+243.5)))))))</f>
        <v>1008.1814626716088</v>
      </c>
      <c r="F257" s="93">
        <v>6</v>
      </c>
      <c r="G257" s="94">
        <v>12</v>
      </c>
      <c r="H257" s="32">
        <f t="shared" si="34"/>
        <v>8.3999999999999986</v>
      </c>
      <c r="I257" s="84">
        <v>8</v>
      </c>
      <c r="J257" s="95">
        <v>2</v>
      </c>
      <c r="K257" s="84">
        <v>1</v>
      </c>
      <c r="L257" s="84">
        <v>0</v>
      </c>
      <c r="M257" s="96">
        <v>12.1</v>
      </c>
      <c r="N257" s="96">
        <v>9.4</v>
      </c>
      <c r="O257" s="93">
        <f t="shared" si="35"/>
        <v>68.240225839737391</v>
      </c>
      <c r="P257" s="96">
        <f t="shared" si="37"/>
        <v>6.4264424469333772</v>
      </c>
      <c r="Q257" s="97">
        <v>12.2</v>
      </c>
      <c r="R257" s="96">
        <v>16.8</v>
      </c>
      <c r="S257" s="96">
        <v>17.899999999999999</v>
      </c>
      <c r="T257" s="96">
        <v>15.3</v>
      </c>
      <c r="U257" s="96">
        <v>7.6</v>
      </c>
      <c r="V257" s="96">
        <f t="shared" si="36"/>
        <v>11.45</v>
      </c>
      <c r="W257" s="96">
        <v>4.5</v>
      </c>
      <c r="X257" s="96">
        <v>6.4</v>
      </c>
      <c r="Y257" s="98">
        <v>3.5</v>
      </c>
      <c r="Z257" s="99">
        <v>9</v>
      </c>
    </row>
    <row r="258" spans="1:26">
      <c r="A258" s="78">
        <f t="shared" si="27"/>
        <v>45547</v>
      </c>
      <c r="B258" s="91">
        <v>29.861999999999998</v>
      </c>
      <c r="C258" s="92">
        <f t="shared" si="33"/>
        <v>1011.24318456</v>
      </c>
      <c r="D258" s="92">
        <v>67.400000000000006</v>
      </c>
      <c r="E258" s="92">
        <f>(C258-0.163*((D258-32)*5/9) + (0.5685 *((C258-0.163*((D258-32)*5/9)))/1000)) *EXP([7]Calc!$C$14/((M258+273.15)+((0.0065*64.6)/2)+(0.12*0.85*((6.112*EXP((17.67*M258)/(M258+243.5)))))))</f>
        <v>1016.4081816106644</v>
      </c>
      <c r="F258" s="93">
        <v>5</v>
      </c>
      <c r="G258" s="94">
        <v>8</v>
      </c>
      <c r="H258" s="32">
        <f t="shared" si="34"/>
        <v>5.6</v>
      </c>
      <c r="I258" s="84">
        <v>8</v>
      </c>
      <c r="J258" s="95">
        <v>2</v>
      </c>
      <c r="K258" s="84">
        <v>1</v>
      </c>
      <c r="L258" s="84">
        <v>0</v>
      </c>
      <c r="M258" s="96">
        <v>11.8</v>
      </c>
      <c r="N258" s="96">
        <v>9.9</v>
      </c>
      <c r="O258" s="93">
        <f t="shared" si="35"/>
        <v>77.13994510454701</v>
      </c>
      <c r="P258" s="96">
        <f t="shared" si="37"/>
        <v>7.9278870866306033</v>
      </c>
      <c r="Q258" s="97">
        <v>10.8</v>
      </c>
      <c r="R258" s="96">
        <v>15.8</v>
      </c>
      <c r="S258" s="96">
        <v>17.600000000000001</v>
      </c>
      <c r="T258" s="96">
        <v>15.1</v>
      </c>
      <c r="U258" s="96">
        <v>5.6</v>
      </c>
      <c r="V258" s="96">
        <f t="shared" si="36"/>
        <v>10.35</v>
      </c>
      <c r="W258" s="96">
        <v>3</v>
      </c>
      <c r="X258" s="96">
        <v>4.5</v>
      </c>
      <c r="Y258" s="98">
        <v>4</v>
      </c>
      <c r="Z258" s="99">
        <v>7.5</v>
      </c>
    </row>
    <row r="259" spans="1:26">
      <c r="A259" s="78">
        <f t="shared" si="27"/>
        <v>45548</v>
      </c>
      <c r="B259" s="91">
        <v>30.24</v>
      </c>
      <c r="C259" s="92">
        <f t="shared" si="33"/>
        <v>1024.0437311999999</v>
      </c>
      <c r="D259" s="92">
        <v>66</v>
      </c>
      <c r="E259" s="92">
        <f>(C259-0.163*((D259-32)*5/9) + (0.5685 *((C259-0.163*((D259-32)*5/9)))/1000)) *EXP([7]Calc!$C$14/((M259+273.15)+((0.0065*64.6)/2)+(0.12*0.85*((6.112*EXP((17.67*M259)/(M259+243.5)))))))</f>
        <v>1029.4428535066315</v>
      </c>
      <c r="F259" s="93">
        <v>3</v>
      </c>
      <c r="G259" s="94">
        <v>0</v>
      </c>
      <c r="H259" s="32">
        <f t="shared" si="34"/>
        <v>0</v>
      </c>
      <c r="I259" s="84">
        <v>8</v>
      </c>
      <c r="J259" s="95">
        <v>2</v>
      </c>
      <c r="K259" s="84">
        <v>1</v>
      </c>
      <c r="L259" s="84">
        <v>0</v>
      </c>
      <c r="M259" s="96">
        <v>11.8</v>
      </c>
      <c r="N259" s="96">
        <v>9.3000000000000007</v>
      </c>
      <c r="O259" s="93">
        <f t="shared" si="35"/>
        <v>70.188680744711263</v>
      </c>
      <c r="P259" s="96">
        <f t="shared" si="37"/>
        <v>6.5480410557895619</v>
      </c>
      <c r="Q259" s="97">
        <v>10.199999999999999</v>
      </c>
      <c r="R259" s="96">
        <v>15</v>
      </c>
      <c r="S259" s="96">
        <v>17.5</v>
      </c>
      <c r="T259" s="96">
        <v>17.2</v>
      </c>
      <c r="U259" s="96">
        <v>3</v>
      </c>
      <c r="V259" s="96">
        <f t="shared" si="36"/>
        <v>10.1</v>
      </c>
      <c r="W259" s="96">
        <v>0.2</v>
      </c>
      <c r="X259" s="96">
        <v>1.9</v>
      </c>
      <c r="Y259" s="98" t="s">
        <v>22</v>
      </c>
      <c r="Z259" s="99">
        <v>9.4</v>
      </c>
    </row>
    <row r="260" spans="1:26">
      <c r="A260" s="78">
        <f t="shared" ref="A260:A323" si="38">A259+1</f>
        <v>45549</v>
      </c>
      <c r="B260" s="91">
        <v>30.286000000000001</v>
      </c>
      <c r="C260" s="92">
        <f t="shared" si="33"/>
        <v>1025.60146968</v>
      </c>
      <c r="D260" s="92">
        <v>66.2</v>
      </c>
      <c r="E260" s="92">
        <f>(C260-0.163*((D260-32)*5/9) + (0.5685 *((C260-0.163*((D260-32)*5/9)))/1000)) *EXP([7]Calc!$C$14/((M260+273.15)+((0.0065*64.6)/2)+(0.12*0.85*((6.112*EXP((17.67*M260)/(M260+243.5)))))))</f>
        <v>1030.9077489209105</v>
      </c>
      <c r="F260" s="93">
        <v>2</v>
      </c>
      <c r="G260" s="94">
        <v>9</v>
      </c>
      <c r="H260" s="32">
        <f t="shared" si="34"/>
        <v>6.3</v>
      </c>
      <c r="I260" s="84">
        <v>8</v>
      </c>
      <c r="J260" s="95">
        <v>2</v>
      </c>
      <c r="K260" s="84">
        <v>1</v>
      </c>
      <c r="L260" s="84">
        <v>0</v>
      </c>
      <c r="M260" s="96">
        <v>14.7</v>
      </c>
      <c r="N260" s="96">
        <v>11</v>
      </c>
      <c r="O260" s="93">
        <f t="shared" si="35"/>
        <v>60.775117581069338</v>
      </c>
      <c r="P260" s="96">
        <f t="shared" si="37"/>
        <v>7.2078067998212232</v>
      </c>
      <c r="Q260" s="97">
        <v>11.3</v>
      </c>
      <c r="R260" s="96">
        <v>14.8</v>
      </c>
      <c r="S260" s="96">
        <v>17.2</v>
      </c>
      <c r="T260" s="96">
        <v>19.2</v>
      </c>
      <c r="U260" s="96">
        <v>6.2</v>
      </c>
      <c r="V260" s="96">
        <f t="shared" si="36"/>
        <v>12.7</v>
      </c>
      <c r="W260" s="96">
        <v>3</v>
      </c>
      <c r="X260" s="96">
        <v>5.0999999999999996</v>
      </c>
      <c r="Y260" s="98">
        <v>0</v>
      </c>
      <c r="Z260" s="99">
        <v>11.2</v>
      </c>
    </row>
    <row r="261" spans="1:26">
      <c r="A261" s="78">
        <f t="shared" si="38"/>
        <v>45550</v>
      </c>
      <c r="B261" s="91">
        <v>30.196000000000002</v>
      </c>
      <c r="C261" s="92">
        <f t="shared" si="33"/>
        <v>1022.5537204800002</v>
      </c>
      <c r="D261" s="92">
        <v>66.400000000000006</v>
      </c>
      <c r="E261" s="92">
        <f>(C261-0.163*((D261-32)*5/9) + (0.5685 *((C261-0.163*((D261-32)*5/9)))/1000)) *EXP([7]Calc!$C$14/((M261+273.15)+((0.0065*64.6)/2)+(0.12*0.85*((6.112*EXP((17.67*M261)/(M261+243.5)))))))</f>
        <v>1027.7927207652824</v>
      </c>
      <c r="F261" s="93">
        <v>2</v>
      </c>
      <c r="G261" s="94">
        <v>8</v>
      </c>
      <c r="H261" s="32">
        <f t="shared" si="34"/>
        <v>5.6</v>
      </c>
      <c r="I261" s="84">
        <v>8</v>
      </c>
      <c r="J261" s="95">
        <v>2</v>
      </c>
      <c r="K261" s="84">
        <v>1</v>
      </c>
      <c r="L261" s="84">
        <v>0</v>
      </c>
      <c r="M261" s="96">
        <v>15.5</v>
      </c>
      <c r="N261" s="96">
        <v>13</v>
      </c>
      <c r="O261" s="93">
        <f t="shared" si="35"/>
        <v>73.685696475793762</v>
      </c>
      <c r="P261" s="96">
        <f t="shared" si="37"/>
        <v>10.825148578622466</v>
      </c>
      <c r="Q261" s="97">
        <v>12.6</v>
      </c>
      <c r="R261" s="96">
        <v>14.9</v>
      </c>
      <c r="S261" s="96">
        <v>17.100000000000001</v>
      </c>
      <c r="T261" s="96">
        <v>18.399999999999999</v>
      </c>
      <c r="U261" s="96">
        <v>8.8000000000000007</v>
      </c>
      <c r="V261" s="96">
        <f t="shared" si="36"/>
        <v>13.6</v>
      </c>
      <c r="W261" s="96">
        <v>5.7</v>
      </c>
      <c r="X261" s="96">
        <v>7.4</v>
      </c>
      <c r="Y261" s="98">
        <v>1.1000000000000001</v>
      </c>
      <c r="Z261" s="99">
        <v>3.9</v>
      </c>
    </row>
    <row r="262" spans="1:26">
      <c r="A262" s="78">
        <f t="shared" si="38"/>
        <v>45551</v>
      </c>
      <c r="B262" s="91">
        <v>30.242000000000001</v>
      </c>
      <c r="C262" s="92">
        <f t="shared" si="33"/>
        <v>1024.1114589600002</v>
      </c>
      <c r="D262" s="92">
        <v>66.8</v>
      </c>
      <c r="E262" s="92">
        <f>(C262-0.163*((D262-32)*5/9) + (0.5685 *((C262-0.163*((D262-32)*5/9)))/1000)) *EXP([7]Calc!$C$14/((M262+273.15)+((0.0065*64.6)/2)+(0.12*0.85*((6.112*EXP((17.67*M262)/(M262+243.5)))))))</f>
        <v>1029.3357039162154</v>
      </c>
      <c r="F262" s="93">
        <v>1</v>
      </c>
      <c r="G262" s="94">
        <v>10</v>
      </c>
      <c r="H262" s="32">
        <f t="shared" si="34"/>
        <v>7</v>
      </c>
      <c r="I262" s="84">
        <v>8</v>
      </c>
      <c r="J262" s="95">
        <v>2</v>
      </c>
      <c r="K262" s="84">
        <v>1</v>
      </c>
      <c r="L262" s="84">
        <v>0</v>
      </c>
      <c r="M262" s="96">
        <v>15.2</v>
      </c>
      <c r="N262" s="96">
        <v>13.8</v>
      </c>
      <c r="O262" s="93">
        <f t="shared" si="35"/>
        <v>84.859292183975953</v>
      </c>
      <c r="P262" s="96">
        <f t="shared" si="37"/>
        <v>12.671283163039687</v>
      </c>
      <c r="Q262" s="97">
        <v>13.9</v>
      </c>
      <c r="R262" s="96">
        <v>15.7</v>
      </c>
      <c r="S262" s="96">
        <v>16.8</v>
      </c>
      <c r="T262" s="96">
        <v>20.100000000000001</v>
      </c>
      <c r="U262" s="96">
        <v>9.6999999999999993</v>
      </c>
      <c r="V262" s="96">
        <f t="shared" si="36"/>
        <v>14.9</v>
      </c>
      <c r="W262" s="96">
        <v>6</v>
      </c>
      <c r="X262" s="96">
        <v>12</v>
      </c>
      <c r="Y262" s="98">
        <v>0</v>
      </c>
      <c r="Z262" s="99">
        <v>9.9</v>
      </c>
    </row>
    <row r="263" spans="1:26">
      <c r="A263" s="78">
        <f t="shared" si="38"/>
        <v>45552</v>
      </c>
      <c r="B263" s="91">
        <v>30.35</v>
      </c>
      <c r="C263" s="92">
        <f t="shared" si="33"/>
        <v>1027.7687580000002</v>
      </c>
      <c r="D263" s="92">
        <v>67.2</v>
      </c>
      <c r="E263" s="92">
        <f>(C263-0.163*((D263-32)*5/9) + (0.5685 *((C263-0.163*((D263-32)*5/9)))/1000)) *EXP([7]Calc!$C$14/((M263+273.15)+((0.0065*64.6)/2)+(0.12*0.85*((6.112*EXP((17.67*M263)/(M263+243.5)))))))</f>
        <v>1033.013609905385</v>
      </c>
      <c r="F263" s="93">
        <v>1</v>
      </c>
      <c r="G263" s="94">
        <v>8</v>
      </c>
      <c r="H263" s="32">
        <f t="shared" si="34"/>
        <v>5.6</v>
      </c>
      <c r="I263" s="84">
        <v>8</v>
      </c>
      <c r="J263" s="95">
        <v>2</v>
      </c>
      <c r="K263" s="84">
        <v>1</v>
      </c>
      <c r="L263" s="84">
        <v>0</v>
      </c>
      <c r="M263" s="96">
        <v>14.3</v>
      </c>
      <c r="N263" s="96">
        <v>12.2</v>
      </c>
      <c r="O263" s="93">
        <f t="shared" si="35"/>
        <v>76.876290988213071</v>
      </c>
      <c r="P263" s="96">
        <f t="shared" si="37"/>
        <v>10.301000606633602</v>
      </c>
      <c r="Q263" s="97">
        <v>12.5</v>
      </c>
      <c r="R263" s="96">
        <v>16.8</v>
      </c>
      <c r="S263" s="96">
        <v>16.7</v>
      </c>
      <c r="T263" s="96">
        <v>20</v>
      </c>
      <c r="U263" s="96">
        <v>6.9</v>
      </c>
      <c r="V263" s="96">
        <f t="shared" si="36"/>
        <v>13.45</v>
      </c>
      <c r="W263" s="96">
        <v>4.4000000000000004</v>
      </c>
      <c r="X263" s="96">
        <v>5.5</v>
      </c>
      <c r="Y263" s="98">
        <v>0.15</v>
      </c>
      <c r="Z263" s="99">
        <v>10.4</v>
      </c>
    </row>
    <row r="264" spans="1:26">
      <c r="A264" s="78">
        <f t="shared" si="38"/>
        <v>45553</v>
      </c>
      <c r="B264" s="91">
        <v>30.294</v>
      </c>
      <c r="C264" s="92">
        <f t="shared" si="33"/>
        <v>1025.8723807200001</v>
      </c>
      <c r="D264" s="92">
        <v>68</v>
      </c>
      <c r="E264" s="92">
        <f>(C264-0.163*((D264-32)*5/9) + (0.5685 *((C264-0.163*((D264-32)*5/9)))/1000)) *EXP([7]Calc!$C$14/((M264+273.15)+((0.0065*64.6)/2)+(0.12*0.85*((6.112*EXP((17.67*M264)/(M264+243.5)))))))</f>
        <v>1030.9654915434746</v>
      </c>
      <c r="F264" s="93">
        <v>8</v>
      </c>
      <c r="G264" s="94">
        <v>9</v>
      </c>
      <c r="H264" s="32">
        <f t="shared" si="34"/>
        <v>6.3</v>
      </c>
      <c r="I264" s="84">
        <v>8</v>
      </c>
      <c r="J264" s="95">
        <v>2</v>
      </c>
      <c r="K264" s="84">
        <v>1</v>
      </c>
      <c r="L264" s="84">
        <v>0</v>
      </c>
      <c r="M264" s="96">
        <v>16.399999999999999</v>
      </c>
      <c r="N264" s="96">
        <v>14.5</v>
      </c>
      <c r="O264" s="93">
        <f t="shared" si="35"/>
        <v>80.367235326734544</v>
      </c>
      <c r="P264" s="96">
        <f t="shared" si="37"/>
        <v>13.013440173650983</v>
      </c>
      <c r="Q264" s="97">
        <v>15</v>
      </c>
      <c r="R264" s="96">
        <v>15.9</v>
      </c>
      <c r="S264" s="96">
        <v>16.600000000000001</v>
      </c>
      <c r="T264" s="96">
        <v>21.9</v>
      </c>
      <c r="U264" s="96">
        <v>11.5</v>
      </c>
      <c r="V264" s="96">
        <f t="shared" si="36"/>
        <v>16.7</v>
      </c>
      <c r="W264" s="96">
        <v>8.6999999999999993</v>
      </c>
      <c r="X264" s="96">
        <v>10.8</v>
      </c>
      <c r="Y264" s="98">
        <v>0</v>
      </c>
      <c r="Z264" s="99">
        <v>4</v>
      </c>
    </row>
    <row r="265" spans="1:26">
      <c r="A265" s="78">
        <f t="shared" si="38"/>
        <v>45554</v>
      </c>
      <c r="B265" s="91">
        <v>30.19</v>
      </c>
      <c r="C265" s="92">
        <f t="shared" si="33"/>
        <v>1022.3505372000001</v>
      </c>
      <c r="D265" s="92">
        <v>68.5</v>
      </c>
      <c r="E265" s="92">
        <f>(C265-0.163*((D265-32)*5/9) + (0.5685 *((C265-0.163*((D265-32)*5/9)))/1000)) *EXP([7]Calc!$C$14/((M265+273.15)+((0.0065*64.6)/2)+(0.12*0.85*((6.112*EXP((17.67*M265)/(M265+243.5)))))))</f>
        <v>1027.3572836744756</v>
      </c>
      <c r="F265" s="93">
        <v>8</v>
      </c>
      <c r="G265" s="94">
        <v>10</v>
      </c>
      <c r="H265" s="32">
        <f t="shared" si="34"/>
        <v>7</v>
      </c>
      <c r="I265" s="84">
        <v>8</v>
      </c>
      <c r="J265" s="95">
        <v>2</v>
      </c>
      <c r="K265" s="84">
        <v>1</v>
      </c>
      <c r="L265" s="84">
        <v>0</v>
      </c>
      <c r="M265" s="96">
        <v>16.8</v>
      </c>
      <c r="N265" s="96">
        <v>15.4</v>
      </c>
      <c r="O265" s="93">
        <f t="shared" si="35"/>
        <v>85.591488325825637</v>
      </c>
      <c r="P265" s="96">
        <f t="shared" si="37"/>
        <v>14.372774993789621</v>
      </c>
      <c r="Q265" s="97">
        <v>16</v>
      </c>
      <c r="R265" s="96">
        <v>16.399999999999999</v>
      </c>
      <c r="S265" s="96">
        <v>16.5</v>
      </c>
      <c r="T265" s="96">
        <v>22.1</v>
      </c>
      <c r="U265" s="96">
        <v>14</v>
      </c>
      <c r="V265" s="96">
        <f t="shared" si="36"/>
        <v>18.05</v>
      </c>
      <c r="W265" s="96">
        <v>12.1</v>
      </c>
      <c r="X265" s="96">
        <v>13</v>
      </c>
      <c r="Y265" s="98">
        <v>0</v>
      </c>
      <c r="Z265" s="99">
        <f>SUM(6.5+AB265)</f>
        <v>6.5</v>
      </c>
    </row>
    <row r="266" spans="1:26">
      <c r="A266" s="78">
        <f t="shared" si="38"/>
        <v>45555</v>
      </c>
      <c r="B266" s="91">
        <v>30.088000000000001</v>
      </c>
      <c r="C266" s="92">
        <f t="shared" si="33"/>
        <v>1018.89642144</v>
      </c>
      <c r="D266" s="92">
        <v>68.400000000000006</v>
      </c>
      <c r="E266" s="92">
        <f>(C266-0.163*((D266-32)*5/9) + (0.5685 *((C266-0.163*((D266-32)*5/9)))/1000)) *EXP([7]Calc!$C$14/((M266+273.15)+((0.0065*64.6)/2)+(0.12*0.85*((6.112*EXP((17.67*M266)/(M266+243.5)))))))</f>
        <v>1023.9019889069742</v>
      </c>
      <c r="F266" s="93">
        <v>8</v>
      </c>
      <c r="G266" s="94">
        <v>14</v>
      </c>
      <c r="H266" s="32">
        <f t="shared" si="34"/>
        <v>9.7999999999999989</v>
      </c>
      <c r="I266" s="84">
        <v>7</v>
      </c>
      <c r="J266" s="95">
        <v>2</v>
      </c>
      <c r="K266" s="84">
        <v>0</v>
      </c>
      <c r="L266" s="84">
        <v>0</v>
      </c>
      <c r="M266" s="96">
        <v>16.2</v>
      </c>
      <c r="N266" s="96">
        <v>14.7</v>
      </c>
      <c r="O266" s="93">
        <f t="shared" si="35"/>
        <v>84.302989138658177</v>
      </c>
      <c r="P266" s="96">
        <f t="shared" si="37"/>
        <v>13.550747815622252</v>
      </c>
      <c r="Q266" s="97">
        <v>15.1</v>
      </c>
      <c r="R266" s="96">
        <v>16.8</v>
      </c>
      <c r="S266" s="96">
        <v>16.5</v>
      </c>
      <c r="T266" s="96">
        <v>22.1</v>
      </c>
      <c r="U266" s="96">
        <v>14.2</v>
      </c>
      <c r="V266" s="96">
        <f t="shared" si="36"/>
        <v>18.149999999999999</v>
      </c>
      <c r="W266" s="96">
        <v>12.1</v>
      </c>
      <c r="X266" s="96">
        <v>14.5</v>
      </c>
      <c r="Y266" s="98" t="s">
        <v>61</v>
      </c>
      <c r="Z266" s="99">
        <v>1.9</v>
      </c>
    </row>
    <row r="267" spans="1:26">
      <c r="A267" s="78">
        <f t="shared" si="38"/>
        <v>45556</v>
      </c>
      <c r="B267" s="91">
        <v>29.9</v>
      </c>
      <c r="C267" s="92">
        <f t="shared" si="33"/>
        <v>1012.5300120000001</v>
      </c>
      <c r="D267" s="92">
        <v>68.599999999999994</v>
      </c>
      <c r="E267" s="92">
        <f>(C267-0.163*((D267-32)*5/9) + (0.5685 *((C267-0.163*((D267-32)*5/9)))/1000)) *EXP([7]Calc!$C$14/((M267+273.15)+((0.0065*64.6)/2)+(0.12*0.85*((6.112*EXP((17.67*M267)/(M267+243.5)))))))</f>
        <v>1017.4327445713615</v>
      </c>
      <c r="F267" s="93">
        <v>7</v>
      </c>
      <c r="G267" s="94">
        <v>2</v>
      </c>
      <c r="H267" s="32">
        <f t="shared" si="34"/>
        <v>1.4</v>
      </c>
      <c r="I267" s="84">
        <v>6</v>
      </c>
      <c r="J267" s="95">
        <v>40</v>
      </c>
      <c r="K267" s="84">
        <v>1</v>
      </c>
      <c r="L267" s="84">
        <v>0</v>
      </c>
      <c r="M267" s="96">
        <v>17.3</v>
      </c>
      <c r="N267" s="96">
        <v>15.7</v>
      </c>
      <c r="O267" s="93">
        <f t="shared" si="35"/>
        <v>83.83150693788204</v>
      </c>
      <c r="P267" s="96">
        <f t="shared" si="37"/>
        <v>14.5415511397595</v>
      </c>
      <c r="Q267" s="97">
        <v>16.2</v>
      </c>
      <c r="R267" s="96">
        <v>16.8</v>
      </c>
      <c r="S267" s="96">
        <v>16.600000000000001</v>
      </c>
      <c r="T267" s="96">
        <v>21</v>
      </c>
      <c r="U267" s="96">
        <v>14</v>
      </c>
      <c r="V267" s="96">
        <f t="shared" si="36"/>
        <v>17.5</v>
      </c>
      <c r="W267" s="96">
        <v>10.9</v>
      </c>
      <c r="X267" s="96">
        <v>12.8</v>
      </c>
      <c r="Y267" s="98">
        <v>3.1</v>
      </c>
      <c r="Z267" s="99">
        <v>3.4</v>
      </c>
    </row>
    <row r="268" spans="1:26">
      <c r="A268" s="78">
        <f t="shared" si="38"/>
        <v>45557</v>
      </c>
      <c r="B268" s="91">
        <v>29.745999999999999</v>
      </c>
      <c r="C268" s="92">
        <f t="shared" si="33"/>
        <v>1007.31497448</v>
      </c>
      <c r="D268" s="92">
        <v>68.8</v>
      </c>
      <c r="E268" s="92">
        <f>(C268-0.163*((D268-32)*5/9) + (0.5685 *((C268-0.163*((D268-32)*5/9)))/1000)) *EXP([7]Calc!$C$14/((M268+273.15)+((0.0065*64.6)/2)+(0.12*0.85*((6.112*EXP((17.67*M268)/(M268+243.5)))))))</f>
        <v>1012.2040853493569</v>
      </c>
      <c r="F268" s="93">
        <v>8</v>
      </c>
      <c r="G268" s="94">
        <v>12</v>
      </c>
      <c r="H268" s="32">
        <f t="shared" si="34"/>
        <v>8.3999999999999986</v>
      </c>
      <c r="I268" s="84">
        <v>7</v>
      </c>
      <c r="J268" s="95">
        <v>60</v>
      </c>
      <c r="K268" s="84">
        <v>1</v>
      </c>
      <c r="L268" s="84">
        <v>0</v>
      </c>
      <c r="M268" s="96">
        <v>15.7</v>
      </c>
      <c r="N268" s="96">
        <v>15.3</v>
      </c>
      <c r="O268" s="93">
        <f t="shared" si="35"/>
        <v>95.671653323725693</v>
      </c>
      <c r="P268" s="96">
        <f t="shared" si="37"/>
        <v>15.010914144841694</v>
      </c>
      <c r="Q268" s="97">
        <v>16.2</v>
      </c>
      <c r="R268" s="96">
        <v>17</v>
      </c>
      <c r="S268" s="96">
        <v>16.600000000000001</v>
      </c>
      <c r="T268" s="96">
        <v>19.399999999999999</v>
      </c>
      <c r="U268" s="96">
        <v>14.9</v>
      </c>
      <c r="V268" s="96">
        <f t="shared" si="36"/>
        <v>17.149999999999999</v>
      </c>
      <c r="W268" s="96">
        <v>11.8</v>
      </c>
      <c r="X268" s="96">
        <v>13.6</v>
      </c>
      <c r="Y268" s="98">
        <v>77.099999999999994</v>
      </c>
      <c r="Z268" s="99">
        <v>0</v>
      </c>
    </row>
    <row r="269" spans="1:26">
      <c r="A269" s="78">
        <f t="shared" si="38"/>
        <v>45558</v>
      </c>
      <c r="B269" s="91">
        <v>29.489000000000001</v>
      </c>
      <c r="C269" s="92">
        <f t="shared" si="33"/>
        <v>998.6119573200001</v>
      </c>
      <c r="D269" s="92">
        <v>69</v>
      </c>
      <c r="E269" s="92">
        <f>(C269-0.163*((D269-32)*5/9) + (0.5685 *((C269-0.163*((D269-32)*5/9)))/1000)) *EXP([7]Calc!$C$14/((M269+273.15)+((0.0065*64.6)/2)+(0.12*0.85*((6.112*EXP((17.67*M269)/(M269+243.5)))))))</f>
        <v>1003.4466451487963</v>
      </c>
      <c r="F269" s="93">
        <v>8</v>
      </c>
      <c r="G269" s="94">
        <v>10</v>
      </c>
      <c r="H269" s="32">
        <f t="shared" si="34"/>
        <v>7</v>
      </c>
      <c r="I269" s="84">
        <v>6</v>
      </c>
      <c r="J269" s="95">
        <v>63</v>
      </c>
      <c r="K269" s="84">
        <v>2</v>
      </c>
      <c r="L269" s="84">
        <v>0</v>
      </c>
      <c r="M269" s="96">
        <v>14.5</v>
      </c>
      <c r="N269" s="96">
        <v>14.4</v>
      </c>
      <c r="O269" s="93">
        <f t="shared" si="35"/>
        <v>98.870582830702276</v>
      </c>
      <c r="P269" s="96">
        <f t="shared" si="37"/>
        <v>14.324399111506645</v>
      </c>
      <c r="Q269" s="97">
        <v>15.5</v>
      </c>
      <c r="R269" s="96">
        <v>17</v>
      </c>
      <c r="S269" s="96">
        <v>16.600000000000001</v>
      </c>
      <c r="T269" s="96">
        <v>14.7</v>
      </c>
      <c r="U269" s="96">
        <v>14.4</v>
      </c>
      <c r="V269" s="96">
        <f t="shared" si="36"/>
        <v>14.55</v>
      </c>
      <c r="W269" s="96">
        <v>12.3</v>
      </c>
      <c r="X269" s="96">
        <v>14.6</v>
      </c>
      <c r="Y269" s="98">
        <v>41.8</v>
      </c>
      <c r="Z269" s="99">
        <v>0</v>
      </c>
    </row>
    <row r="270" spans="1:26">
      <c r="A270" s="78">
        <f t="shared" si="38"/>
        <v>45559</v>
      </c>
      <c r="B270" s="91">
        <v>29.51</v>
      </c>
      <c r="C270" s="92">
        <f t="shared" si="33"/>
        <v>999.32309880000014</v>
      </c>
      <c r="D270" s="92">
        <v>71.2</v>
      </c>
      <c r="E270" s="92">
        <f>(C270-0.163*((D270-32)*5/9) + (0.5685 *((C270-0.163*((D270-32)*5/9)))/1000)) *EXP([7]Calc!$C$14/((M270+273.15)+((0.0065*64.6)/2)+(0.12*0.85*((6.112*EXP((17.67*M270)/(M270+243.5)))))))</f>
        <v>1004.0038644686349</v>
      </c>
      <c r="F270" s="93">
        <v>8</v>
      </c>
      <c r="G270" s="94">
        <v>4</v>
      </c>
      <c r="H270" s="32">
        <f t="shared" si="34"/>
        <v>2.8</v>
      </c>
      <c r="I270" s="84">
        <v>7</v>
      </c>
      <c r="J270" s="95">
        <v>2</v>
      </c>
      <c r="K270" s="84">
        <v>1</v>
      </c>
      <c r="L270" s="84">
        <v>0</v>
      </c>
      <c r="M270" s="96">
        <v>13.1</v>
      </c>
      <c r="N270" s="96">
        <v>12</v>
      </c>
      <c r="O270" s="93">
        <f t="shared" si="35"/>
        <v>87.193841462889381</v>
      </c>
      <c r="P270" s="96">
        <f t="shared" si="37"/>
        <v>11.019924366848379</v>
      </c>
      <c r="Q270" s="97">
        <v>14.9</v>
      </c>
      <c r="R270" s="96">
        <v>16.399999999999999</v>
      </c>
      <c r="S270" s="96">
        <v>16.7</v>
      </c>
      <c r="T270" s="96">
        <v>16.399999999999999</v>
      </c>
      <c r="U270" s="96">
        <v>12.6</v>
      </c>
      <c r="V270" s="96">
        <f t="shared" si="36"/>
        <v>14.5</v>
      </c>
      <c r="W270" s="96">
        <v>13.1</v>
      </c>
      <c r="X270" s="96">
        <v>12.8</v>
      </c>
      <c r="Y270" s="98">
        <v>0</v>
      </c>
      <c r="Z270" s="99">
        <v>1.3</v>
      </c>
    </row>
    <row r="271" spans="1:26">
      <c r="A271" s="78">
        <f t="shared" si="38"/>
        <v>45560</v>
      </c>
      <c r="B271" s="91">
        <v>29.425999999999998</v>
      </c>
      <c r="C271" s="92">
        <f t="shared" si="33"/>
        <v>996.47853287999999</v>
      </c>
      <c r="D271" s="92">
        <v>71.8</v>
      </c>
      <c r="E271" s="92">
        <f>(C271-0.163*((D271-32)*5/9) + (0.5685 *((C271-0.163*((D271-32)*5/9)))/1000)) *EXP([7]Calc!$C$14/((M271+273.15)+((0.0065*64.6)/2)+(0.12*0.85*((6.112*EXP((17.67*M271)/(M271+243.5)))))))</f>
        <v>1001.1633799633684</v>
      </c>
      <c r="F271" s="93">
        <v>8</v>
      </c>
      <c r="G271" s="94">
        <v>2</v>
      </c>
      <c r="H271" s="32">
        <f t="shared" si="34"/>
        <v>1.4</v>
      </c>
      <c r="I271" s="84">
        <v>7</v>
      </c>
      <c r="J271" s="95">
        <v>2</v>
      </c>
      <c r="K271" s="84">
        <v>1</v>
      </c>
      <c r="L271" s="84">
        <v>0</v>
      </c>
      <c r="M271" s="96">
        <v>10.3</v>
      </c>
      <c r="N271" s="96">
        <v>10</v>
      </c>
      <c r="O271" s="93">
        <f t="shared" si="35"/>
        <v>96.096857548595011</v>
      </c>
      <c r="P271" s="96">
        <f t="shared" si="37"/>
        <v>9.7053517995466212</v>
      </c>
      <c r="Q271" s="97">
        <v>13.4</v>
      </c>
      <c r="R271" s="96">
        <v>16</v>
      </c>
      <c r="S271" s="96">
        <v>16.7</v>
      </c>
      <c r="T271" s="96">
        <v>15.8</v>
      </c>
      <c r="U271" s="96">
        <v>9.6</v>
      </c>
      <c r="V271" s="96">
        <f t="shared" si="36"/>
        <v>12.7</v>
      </c>
      <c r="W271" s="96">
        <v>6</v>
      </c>
      <c r="X271" s="96">
        <v>9.8000000000000007</v>
      </c>
      <c r="Y271" s="98">
        <v>15.3</v>
      </c>
      <c r="Z271" s="99">
        <f>SUM(1.5+AB271)</f>
        <v>1.5</v>
      </c>
    </row>
    <row r="272" spans="1:26">
      <c r="A272" s="78">
        <f t="shared" si="38"/>
        <v>45561</v>
      </c>
      <c r="B272" s="91">
        <v>29.06</v>
      </c>
      <c r="C272" s="92">
        <f t="shared" si="33"/>
        <v>984.08435280000003</v>
      </c>
      <c r="D272" s="92">
        <v>72</v>
      </c>
      <c r="E272" s="92">
        <f>(C272-0.163*((D272-32)*5/9) + (0.5685 *((C272-0.163*((D272-32)*5/9)))/1000)) *EXP([7]Calc!$C$14/((M272+273.15)+((0.0065*64.6)/2)+(0.12*0.85*((6.112*EXP((17.67*M272)/(M272+243.5)))))))</f>
        <v>988.48820037037979</v>
      </c>
      <c r="F272" s="93">
        <v>4</v>
      </c>
      <c r="G272" s="94">
        <v>11</v>
      </c>
      <c r="H272" s="32">
        <f t="shared" si="34"/>
        <v>7.6999999999999993</v>
      </c>
      <c r="I272" s="84">
        <v>8</v>
      </c>
      <c r="J272" s="95">
        <v>2</v>
      </c>
      <c r="K272" s="84">
        <v>1</v>
      </c>
      <c r="L272" s="84">
        <v>0</v>
      </c>
      <c r="M272" s="96">
        <v>15.8</v>
      </c>
      <c r="N272" s="96">
        <v>14.7</v>
      </c>
      <c r="O272" s="93">
        <f t="shared" si="35"/>
        <v>88.26922518185836</v>
      </c>
      <c r="P272" s="96">
        <f t="shared" si="37"/>
        <v>13.864664535089625</v>
      </c>
      <c r="Q272" s="97">
        <v>14.3</v>
      </c>
      <c r="R272" s="96">
        <v>15.7</v>
      </c>
      <c r="S272" s="96">
        <v>16.5</v>
      </c>
      <c r="T272" s="96">
        <v>17.899999999999999</v>
      </c>
      <c r="U272" s="96">
        <v>10.199999999999999</v>
      </c>
      <c r="V272" s="96">
        <f t="shared" si="36"/>
        <v>14.049999999999999</v>
      </c>
      <c r="W272" s="96">
        <v>8</v>
      </c>
      <c r="X272" s="96">
        <v>11.2</v>
      </c>
      <c r="Y272" s="98">
        <v>14.2</v>
      </c>
      <c r="Z272" s="99">
        <v>3.3</v>
      </c>
    </row>
    <row r="273" spans="1:26">
      <c r="A273" s="78">
        <f t="shared" si="38"/>
        <v>45562</v>
      </c>
      <c r="B273" s="91">
        <v>29.364000000000001</v>
      </c>
      <c r="C273" s="92">
        <f t="shared" si="33"/>
        <v>994.37897232000012</v>
      </c>
      <c r="D273" s="92">
        <v>70.900000000000006</v>
      </c>
      <c r="E273" s="92">
        <f>(C273-0.163*((D273-32)*5/9) + (0.5685 *((C273-0.163*((D273-32)*5/9)))/1000)) *EXP([7]Calc!$C$14/((M273+273.15)+((0.0065*64.6)/2)+(0.12*0.85*((6.112*EXP((17.67*M273)/(M273+243.5)))))))</f>
        <v>999.16390894697781</v>
      </c>
      <c r="F273" s="93">
        <v>8</v>
      </c>
      <c r="G273" s="94">
        <v>14</v>
      </c>
      <c r="H273" s="32">
        <f t="shared" si="34"/>
        <v>9.7999999999999989</v>
      </c>
      <c r="I273" s="84">
        <v>8</v>
      </c>
      <c r="J273" s="95">
        <v>2</v>
      </c>
      <c r="K273" s="84">
        <v>2</v>
      </c>
      <c r="L273" s="84">
        <v>0</v>
      </c>
      <c r="M273" s="96">
        <v>9.1</v>
      </c>
      <c r="N273" s="96">
        <v>8.1999999999999993</v>
      </c>
      <c r="O273" s="93">
        <f t="shared" si="35"/>
        <v>87.858233300001672</v>
      </c>
      <c r="P273" s="96">
        <f t="shared" si="37"/>
        <v>7.1948432585801028</v>
      </c>
      <c r="Q273" s="97">
        <v>12.6</v>
      </c>
      <c r="R273" s="96">
        <v>15.5</v>
      </c>
      <c r="S273" s="96">
        <v>16.399999999999999</v>
      </c>
      <c r="T273" s="96">
        <v>13.3</v>
      </c>
      <c r="U273" s="96">
        <v>8.1</v>
      </c>
      <c r="V273" s="96">
        <f t="shared" si="36"/>
        <v>10.7</v>
      </c>
      <c r="W273" s="96">
        <v>7.2</v>
      </c>
      <c r="X273" s="96">
        <v>8.6</v>
      </c>
      <c r="Y273" s="98">
        <v>0.6</v>
      </c>
      <c r="Z273" s="99">
        <v>3.1</v>
      </c>
    </row>
    <row r="274" spans="1:26">
      <c r="A274" s="78">
        <f t="shared" si="38"/>
        <v>45563</v>
      </c>
      <c r="B274" s="91">
        <v>30.1</v>
      </c>
      <c r="C274" s="92">
        <f t="shared" si="33"/>
        <v>1019.3027880000001</v>
      </c>
      <c r="D274" s="92">
        <v>72</v>
      </c>
      <c r="E274" s="92">
        <f>(C274-0.163*((D274-32)*5/9) + (0.5685 *((C274-0.163*((D274-32)*5/9)))/1000)) *EXP([7]Calc!$C$14/((M274+273.15)+((0.0065*64.6)/2)+(0.12*0.85*((6.112*EXP((17.67*M274)/(M274+243.5)))))))</f>
        <v>1024.1327627922956</v>
      </c>
      <c r="F274" s="93">
        <v>2</v>
      </c>
      <c r="G274" s="94">
        <v>5</v>
      </c>
      <c r="H274" s="32">
        <f t="shared" si="34"/>
        <v>3.5</v>
      </c>
      <c r="I274" s="84">
        <v>8</v>
      </c>
      <c r="J274" s="95">
        <v>2</v>
      </c>
      <c r="K274" s="84">
        <v>2</v>
      </c>
      <c r="L274" s="84">
        <v>0</v>
      </c>
      <c r="M274" s="96">
        <v>11.2</v>
      </c>
      <c r="N274" s="96">
        <v>9.1</v>
      </c>
      <c r="O274" s="93">
        <f t="shared" si="35"/>
        <v>74.259614196723732</v>
      </c>
      <c r="P274" s="96">
        <f t="shared" si="37"/>
        <v>6.790643122019226</v>
      </c>
      <c r="Q274" s="97">
        <v>9.4</v>
      </c>
      <c r="R274" s="96">
        <v>14.4</v>
      </c>
      <c r="S274" s="96">
        <v>16.2</v>
      </c>
      <c r="T274" s="96">
        <v>14.7</v>
      </c>
      <c r="U274" s="96">
        <v>3.9</v>
      </c>
      <c r="V274" s="96">
        <f t="shared" si="36"/>
        <v>9.2999999999999989</v>
      </c>
      <c r="W274" s="96">
        <v>-1.1000000000000001</v>
      </c>
      <c r="X274" s="96">
        <v>2.5</v>
      </c>
      <c r="Y274" s="98" t="s">
        <v>22</v>
      </c>
      <c r="Z274" s="99">
        <v>6.8</v>
      </c>
    </row>
    <row r="275" spans="1:26">
      <c r="A275" s="78">
        <f t="shared" si="38"/>
        <v>45564</v>
      </c>
      <c r="B275" s="91">
        <v>30.04</v>
      </c>
      <c r="C275" s="92">
        <f t="shared" si="33"/>
        <v>1017.2709552</v>
      </c>
      <c r="D275" s="92">
        <v>72.900000000000006</v>
      </c>
      <c r="E275" s="92">
        <f>(C275-0.163*((D275-32)*5/9) + (0.5685 *((C275-0.163*((D275-32)*5/9)))/1000)) *EXP([7]Calc!$C$14/((M275+273.15)+((0.0065*64.6)/2)+(0.12*0.85*((6.112*EXP((17.67*M275)/(M275+243.5)))))))</f>
        <v>1022.0379936299505</v>
      </c>
      <c r="F275" s="93">
        <v>8</v>
      </c>
      <c r="G275" s="94">
        <v>8</v>
      </c>
      <c r="H275" s="32">
        <f t="shared" si="34"/>
        <v>5.6</v>
      </c>
      <c r="I275" s="84">
        <v>8</v>
      </c>
      <c r="J275" s="95">
        <v>2</v>
      </c>
      <c r="K275" s="84">
        <v>1</v>
      </c>
      <c r="L275" s="84">
        <v>0</v>
      </c>
      <c r="M275" s="96">
        <v>10</v>
      </c>
      <c r="N275" s="96">
        <v>8.4</v>
      </c>
      <c r="O275" s="93">
        <f t="shared" si="35"/>
        <v>79.349525806965943</v>
      </c>
      <c r="P275" s="96">
        <f t="shared" si="37"/>
        <v>6.5917462129586513</v>
      </c>
      <c r="Q275" s="97">
        <v>9.9</v>
      </c>
      <c r="R275" s="96">
        <v>13.7</v>
      </c>
      <c r="S275" s="96">
        <v>16.100000000000001</v>
      </c>
      <c r="T275" s="96">
        <v>15.3</v>
      </c>
      <c r="U275" s="96">
        <v>6.2</v>
      </c>
      <c r="V275" s="96">
        <f t="shared" si="36"/>
        <v>10.75</v>
      </c>
      <c r="W275" s="96">
        <v>0.6</v>
      </c>
      <c r="X275" s="96">
        <v>4</v>
      </c>
      <c r="Y275" s="98">
        <v>7.8</v>
      </c>
      <c r="Z275" s="99">
        <v>0.2</v>
      </c>
    </row>
    <row r="276" spans="1:26">
      <c r="A276" s="78">
        <f t="shared" si="38"/>
        <v>45565</v>
      </c>
      <c r="B276" s="91">
        <v>29.384</v>
      </c>
      <c r="C276" s="92">
        <f t="shared" si="33"/>
        <v>995.05624992000003</v>
      </c>
      <c r="D276" s="92">
        <v>71.8</v>
      </c>
      <c r="E276" s="92">
        <f>(C276-0.163*((D276-32)*5/9) + (0.5685 *((C276-0.163*((D276-32)*5/9)))/1000)) *EXP([7]Calc!$C$14/((M276+273.15)+((0.0065*64.6)/2)+(0.12*0.85*((6.112*EXP((17.67*M276)/(M276+243.5)))))))</f>
        <v>999.58273119959665</v>
      </c>
      <c r="F276" s="93">
        <v>8</v>
      </c>
      <c r="G276" s="94">
        <v>10</v>
      </c>
      <c r="H276" s="32">
        <f t="shared" si="34"/>
        <v>7</v>
      </c>
      <c r="I276" s="84">
        <v>8</v>
      </c>
      <c r="J276" s="95">
        <v>2</v>
      </c>
      <c r="K276" s="84">
        <v>2</v>
      </c>
      <c r="L276" s="84">
        <v>0</v>
      </c>
      <c r="M276" s="96">
        <v>15.3</v>
      </c>
      <c r="N276" s="96">
        <v>15.1</v>
      </c>
      <c r="O276" s="93">
        <f t="shared" si="35"/>
        <v>97.801435917872624</v>
      </c>
      <c r="P276" s="96">
        <f t="shared" si="37"/>
        <v>14.954402762996834</v>
      </c>
      <c r="Q276" s="97">
        <v>13</v>
      </c>
      <c r="R276" s="96">
        <v>13.4</v>
      </c>
      <c r="S276" s="96">
        <v>15.5</v>
      </c>
      <c r="T276" s="96">
        <v>15.4</v>
      </c>
      <c r="U276" s="96">
        <v>9.9</v>
      </c>
      <c r="V276" s="96">
        <f t="shared" si="36"/>
        <v>12.65</v>
      </c>
      <c r="W276" s="96">
        <v>9.8000000000000007</v>
      </c>
      <c r="X276" s="96">
        <v>9.4</v>
      </c>
      <c r="Y276" s="98">
        <v>0.8</v>
      </c>
      <c r="Z276" s="99">
        <v>0.2</v>
      </c>
    </row>
    <row r="277" spans="1:26">
      <c r="A277" s="78">
        <f t="shared" si="38"/>
        <v>45566</v>
      </c>
      <c r="B277" s="91">
        <v>29.66</v>
      </c>
      <c r="C277" s="92">
        <f>B277*33.86388</f>
        <v>1004.4026808000001</v>
      </c>
      <c r="D277" s="92">
        <v>74</v>
      </c>
      <c r="E277" s="92">
        <f>(C277-0.163*((D277-32)*5/9) + (0.5685 *((C277-0.163*((D277-32)*5/9)))/1000)) *EXP([8]Calc!$C$14/((M277+273.15)+((0.0065*64.6)/2)+(0.12*0.85*((6.112*EXP((17.67*M277)/(M277+243.5)))))))</f>
        <v>1008.9112094628416</v>
      </c>
      <c r="F277" s="93">
        <v>8</v>
      </c>
      <c r="G277" s="94">
        <v>12</v>
      </c>
      <c r="H277" s="32">
        <f>G277*0.7</f>
        <v>8.3999999999999986</v>
      </c>
      <c r="I277" s="84">
        <v>8</v>
      </c>
      <c r="J277" s="95">
        <v>2</v>
      </c>
      <c r="K277" s="84">
        <v>2</v>
      </c>
      <c r="M277" s="96">
        <v>11.7</v>
      </c>
      <c r="N277" s="96">
        <v>11.1</v>
      </c>
      <c r="O277" s="93">
        <f>IF(M277&gt;0,100*(((6.112*EXP((17.67*N277)/(N277+243.5)))-0.8*(M277-N277))/(6.112*EXP((17.67*M277)/(M277+243.5)))),100*(((6.109*EXP((22.5*N277)/(N277+273)))-0.8*(M277-N277))/(6.109*EXP((22.5*M277)/(M277+273)))))</f>
        <v>92.611352480664749</v>
      </c>
      <c r="P277" s="96">
        <f t="shared" si="37"/>
        <v>10.543410319589498</v>
      </c>
      <c r="Q277" s="97">
        <v>12.2</v>
      </c>
      <c r="R277" s="96">
        <v>14</v>
      </c>
      <c r="S277" s="96">
        <v>15.5</v>
      </c>
      <c r="T277" s="96">
        <v>14.1</v>
      </c>
      <c r="U277" s="96">
        <v>6</v>
      </c>
      <c r="V277" s="96">
        <f>AVERAGE(T277:U277)</f>
        <v>10.050000000000001</v>
      </c>
      <c r="W277" s="96">
        <v>11</v>
      </c>
      <c r="X277" s="96">
        <v>10.6</v>
      </c>
      <c r="Y277" s="98">
        <v>8.4</v>
      </c>
      <c r="Z277" s="99">
        <v>0</v>
      </c>
    </row>
    <row r="278" spans="1:26">
      <c r="A278" s="78">
        <f t="shared" si="38"/>
        <v>45567</v>
      </c>
      <c r="B278" s="91">
        <v>29.814</v>
      </c>
      <c r="C278" s="92">
        <f t="shared" ref="C278:C307" si="39">B278*33.86388</f>
        <v>1009.6177183200001</v>
      </c>
      <c r="D278" s="92">
        <v>73.5</v>
      </c>
      <c r="E278" s="92">
        <f>(C278-0.163*((D278-32)*5/9) + (0.5685 *((C278-0.163*((D278-32)*5/9)))/1000)) *EXP([8]Calc!$C$14/((M278+273.15)+((0.0065*64.6)/2)+(0.12*0.85*((6.112*EXP((17.67*M278)/(M278+243.5)))))))</f>
        <v>1014.143914128108</v>
      </c>
      <c r="F278" s="93">
        <v>8</v>
      </c>
      <c r="G278" s="94">
        <v>19</v>
      </c>
      <c r="H278" s="32">
        <f t="shared" ref="H278:H307" si="40">G278*0.7</f>
        <v>13.299999999999999</v>
      </c>
      <c r="I278" s="84">
        <v>6</v>
      </c>
      <c r="J278" s="95">
        <v>2</v>
      </c>
      <c r="K278" s="84">
        <v>2</v>
      </c>
      <c r="M278" s="96">
        <v>14.1</v>
      </c>
      <c r="N278" s="96">
        <v>12.8</v>
      </c>
      <c r="O278" s="93">
        <f t="shared" ref="O278:O307" si="41">IF(M278&gt;0,100*(((6.112*EXP((17.67*N278)/(N278+243.5)))-0.8*(M278-N278))/(6.112*EXP((17.67*M278)/(M278+243.5)))),100*(((6.109*EXP((22.5*N278)/(N278+273)))-0.8*(M278-N278))/(6.109*EXP((22.5*M278)/(M278+273)))))</f>
        <v>85.408432492270521</v>
      </c>
      <c r="P278" s="96">
        <f>IF(M278&gt;0, (243.5*LN(((6.112*EXP((17.67*N278)/(N278+243.5)))-0.8*(M278-N278))/6.112))/(17.67-LN(((6.112*EXP((17.67*N278)/(N278+243.5)))-0.8*(M278-N278))/6.112)),(273*LN(((6.109*EXP((22.5*N278)/(N278+273)))-0.8*(M278-N278))/6.109))/(22.5-LN(((6.109*EXP((22.5*N278)/(N278+273)))-0.8*(M278-N278))/6.109)))</f>
        <v>11.690228403516402</v>
      </c>
      <c r="Q278" s="97">
        <v>13</v>
      </c>
      <c r="R278" s="96">
        <v>14</v>
      </c>
      <c r="S278" s="96">
        <v>15.5</v>
      </c>
      <c r="T278" s="96">
        <v>15.1</v>
      </c>
      <c r="U278" s="96">
        <v>10.6</v>
      </c>
      <c r="V278" s="96">
        <f t="shared" ref="V278:V307" si="42">AVERAGE(T278:U278)</f>
        <v>12.85</v>
      </c>
      <c r="W278" s="96">
        <v>9.9</v>
      </c>
      <c r="X278" s="96">
        <v>11.1</v>
      </c>
      <c r="Y278" s="98">
        <v>0.9</v>
      </c>
      <c r="Z278" s="99">
        <v>1.45</v>
      </c>
    </row>
    <row r="279" spans="1:26">
      <c r="A279" s="78">
        <f t="shared" si="38"/>
        <v>45568</v>
      </c>
      <c r="B279" s="91">
        <v>29.975999999999999</v>
      </c>
      <c r="C279" s="92">
        <f t="shared" si="39"/>
        <v>1015.10366688</v>
      </c>
      <c r="D279" s="92">
        <v>73.400000000000006</v>
      </c>
      <c r="E279" s="92">
        <f>(C279-0.163*((D279-32)*5/9) + (0.5685 *((C279-0.163*((D279-32)*5/9)))/1000)) *EXP([8]Calc!$C$14/((M279+273.15)+((0.0065*64.6)/2)+(0.12*0.85*((6.112*EXP((17.67*M279)/(M279+243.5)))))))</f>
        <v>1019.767864762314</v>
      </c>
      <c r="F279" s="93">
        <v>1</v>
      </c>
      <c r="G279" s="94">
        <v>0</v>
      </c>
      <c r="H279" s="32">
        <f t="shared" si="40"/>
        <v>0</v>
      </c>
      <c r="I279" s="84">
        <v>8</v>
      </c>
      <c r="J279" s="95">
        <v>2</v>
      </c>
      <c r="K279" s="84">
        <v>1</v>
      </c>
      <c r="M279" s="96">
        <v>11.3</v>
      </c>
      <c r="N279" s="96">
        <v>9.1</v>
      </c>
      <c r="O279" s="93">
        <f t="shared" si="41"/>
        <v>73.171079734822868</v>
      </c>
      <c r="P279" s="96">
        <f t="shared" ref="P279:P308" si="43">IF(M279&gt;0, (243.5*LN(((6.112*EXP((17.67*N279)/(N279+243.5)))-0.8*(M279-N279))/6.112))/(17.67-LN(((6.112*EXP((17.67*N279)/(N279+243.5)))-0.8*(M279-N279))/6.112)),(273*LN(((6.109*EXP((22.5*N279)/(N279+273)))-0.8*(M279-N279))/6.109))/(22.5-LN(((6.109*EXP((22.5*N279)/(N279+273)))-0.8*(M279-N279))/6.109)))</f>
        <v>6.6722251826466108</v>
      </c>
      <c r="Q279" s="97">
        <v>9.8000000000000007</v>
      </c>
      <c r="R279" s="96">
        <v>13.9</v>
      </c>
      <c r="S279" s="96">
        <v>15.5</v>
      </c>
      <c r="T279" s="96">
        <v>17</v>
      </c>
      <c r="U279" s="96">
        <v>4.5</v>
      </c>
      <c r="V279" s="96">
        <f t="shared" si="42"/>
        <v>10.75</v>
      </c>
      <c r="W279" s="96">
        <v>1.4</v>
      </c>
      <c r="X279" s="96">
        <v>4.2</v>
      </c>
      <c r="Y279" s="98">
        <v>0</v>
      </c>
      <c r="Z279" s="99">
        <v>7.5</v>
      </c>
    </row>
    <row r="280" spans="1:26">
      <c r="A280" s="78">
        <f t="shared" si="38"/>
        <v>45569</v>
      </c>
      <c r="B280" s="91">
        <v>29.974</v>
      </c>
      <c r="C280" s="92">
        <f t="shared" si="39"/>
        <v>1015.0359391200001</v>
      </c>
      <c r="D280" s="92">
        <v>74</v>
      </c>
      <c r="E280" s="92">
        <f>(C280-0.163*((D280-32)*5/9) + (0.5685 *((C280-0.163*((D280-32)*5/9)))/1000)) *EXP([8]Calc!$C$14/((M280+273.15)+((0.0065*64.6)/2)+(0.12*0.85*((6.112*EXP((17.67*M280)/(M280+243.5)))))))</f>
        <v>1019.6597963423129</v>
      </c>
      <c r="F280" s="93">
        <v>3</v>
      </c>
      <c r="G280" s="94">
        <v>1</v>
      </c>
      <c r="H280" s="32">
        <f t="shared" si="40"/>
        <v>0.7</v>
      </c>
      <c r="I280" s="84">
        <v>7</v>
      </c>
      <c r="J280" s="95">
        <v>2</v>
      </c>
      <c r="K280" s="84">
        <v>1</v>
      </c>
      <c r="M280" s="96">
        <v>10.8</v>
      </c>
      <c r="N280" s="96">
        <v>9.4</v>
      </c>
      <c r="O280" s="93">
        <f t="shared" si="41"/>
        <v>82.406797914484429</v>
      </c>
      <c r="P280" s="96">
        <f t="shared" si="43"/>
        <v>7.9245582904227589</v>
      </c>
      <c r="Q280" s="97">
        <v>9.4</v>
      </c>
      <c r="R280" s="96">
        <v>13.3</v>
      </c>
      <c r="S280" s="96">
        <v>15.4</v>
      </c>
      <c r="T280" s="96">
        <v>15.1</v>
      </c>
      <c r="U280" s="96">
        <v>3.6</v>
      </c>
      <c r="V280" s="96">
        <f t="shared" si="42"/>
        <v>9.35</v>
      </c>
      <c r="W280" s="96">
        <v>-0.4</v>
      </c>
      <c r="X280" s="96">
        <v>2.6</v>
      </c>
      <c r="Y280" s="98" t="s">
        <v>22</v>
      </c>
      <c r="Z280" s="99">
        <v>6.9</v>
      </c>
    </row>
    <row r="281" spans="1:26">
      <c r="A281" s="78">
        <f t="shared" si="38"/>
        <v>45570</v>
      </c>
      <c r="B281" s="91">
        <v>29.896000000000001</v>
      </c>
      <c r="C281" s="92">
        <f t="shared" si="39"/>
        <v>1012.3945564800001</v>
      </c>
      <c r="D281" s="92">
        <v>74.7</v>
      </c>
      <c r="E281" s="92">
        <f>(C281-0.163*((D281-32)*5/9) + (0.5685 *((C281-0.163*((D281-32)*5/9)))/1000)) *EXP([8]Calc!$C$14/((M281+273.15)+((0.0065*64.6)/2)+(0.12*0.85*((6.112*EXP((17.67*M281)/(M281+243.5)))))))</f>
        <v>1016.8876427718286</v>
      </c>
      <c r="F281" s="93">
        <v>2</v>
      </c>
      <c r="G281" s="94">
        <v>7</v>
      </c>
      <c r="H281" s="32">
        <f t="shared" si="40"/>
        <v>4.8999999999999995</v>
      </c>
      <c r="I281" s="84">
        <v>8</v>
      </c>
      <c r="J281" s="95">
        <v>2</v>
      </c>
      <c r="K281" s="84">
        <v>1</v>
      </c>
      <c r="M281" s="96">
        <v>12.3</v>
      </c>
      <c r="N281" s="96">
        <v>10.4</v>
      </c>
      <c r="O281" s="93">
        <f t="shared" si="41"/>
        <v>77.539725468866905</v>
      </c>
      <c r="P281" s="96">
        <f t="shared" si="43"/>
        <v>8.4890840995975658</v>
      </c>
      <c r="Q281" s="97">
        <v>9.6999999999999993</v>
      </c>
      <c r="R281" s="96">
        <v>12.5</v>
      </c>
      <c r="S281" s="96">
        <v>15.2</v>
      </c>
      <c r="T281" s="96">
        <v>17</v>
      </c>
      <c r="U281" s="96">
        <v>4.4000000000000004</v>
      </c>
      <c r="V281" s="96">
        <f t="shared" si="42"/>
        <v>10.7</v>
      </c>
      <c r="W281" s="96">
        <v>-0.6</v>
      </c>
      <c r="X281" s="96">
        <v>2.8</v>
      </c>
      <c r="Y281" s="98">
        <v>0.2</v>
      </c>
      <c r="Z281" s="99">
        <v>8.1</v>
      </c>
    </row>
    <row r="282" spans="1:26">
      <c r="A282" s="78">
        <f t="shared" si="38"/>
        <v>45571</v>
      </c>
      <c r="B282" s="91">
        <v>29.443999999999999</v>
      </c>
      <c r="C282" s="92">
        <f t="shared" si="39"/>
        <v>997.08808271999999</v>
      </c>
      <c r="D282" s="92">
        <v>74.7</v>
      </c>
      <c r="E282" s="92">
        <f>(C282-0.163*((D282-32)*5/9) + (0.5685 *((C282-0.163*((D282-32)*5/9)))/1000)) *EXP([8]Calc!$C$14/((M282+273.15)+((0.0065*64.6)/2)+(0.12*0.85*((6.112*EXP((17.67*M282)/(M282+243.5)))))))</f>
        <v>1001.4308107681367</v>
      </c>
      <c r="F282" s="93">
        <v>8</v>
      </c>
      <c r="G282" s="94">
        <v>8</v>
      </c>
      <c r="H282" s="32">
        <f t="shared" si="40"/>
        <v>5.6</v>
      </c>
      <c r="I282" s="84">
        <v>8</v>
      </c>
      <c r="J282" s="95">
        <v>2</v>
      </c>
      <c r="K282" s="84">
        <v>1</v>
      </c>
      <c r="M282" s="96">
        <v>13.1</v>
      </c>
      <c r="N282" s="96">
        <v>11.4</v>
      </c>
      <c r="O282" s="93">
        <f t="shared" si="41"/>
        <v>80.391840074678441</v>
      </c>
      <c r="P282" s="96">
        <f t="shared" si="43"/>
        <v>9.8029122235059436</v>
      </c>
      <c r="Q282" s="97">
        <v>11.8</v>
      </c>
      <c r="R282" s="96">
        <v>12.5</v>
      </c>
      <c r="S282" s="96">
        <v>14.8</v>
      </c>
      <c r="T282" s="96">
        <v>15.8</v>
      </c>
      <c r="U282" s="96">
        <v>10.6</v>
      </c>
      <c r="V282" s="96">
        <f t="shared" si="42"/>
        <v>13.2</v>
      </c>
      <c r="W282" s="96">
        <v>5.0999999999999996</v>
      </c>
      <c r="X282" s="96">
        <v>6.8</v>
      </c>
      <c r="Y282" s="98">
        <v>8.3000000000000007</v>
      </c>
      <c r="Z282" s="99">
        <v>0</v>
      </c>
    </row>
    <row r="283" spans="1:26">
      <c r="A283" s="78">
        <f t="shared" si="38"/>
        <v>45572</v>
      </c>
      <c r="B283" s="91">
        <v>29.335999999999999</v>
      </c>
      <c r="C283" s="92">
        <f t="shared" si="39"/>
        <v>993.43078367999999</v>
      </c>
      <c r="D283" s="92">
        <v>75.8</v>
      </c>
      <c r="E283" s="92">
        <f>(C283-0.163*((D283-32)*5/9) + (0.5685 *((C283-0.163*((D283-32)*5/9)))/1000)) *EXP([8]Calc!$C$14/((M283+273.15)+((0.0065*64.6)/2)+(0.12*0.85*((6.112*EXP((17.67*M283)/(M283+243.5)))))))</f>
        <v>997.56421319125616</v>
      </c>
      <c r="F283" s="93">
        <v>2</v>
      </c>
      <c r="G283" s="94">
        <v>10</v>
      </c>
      <c r="H283" s="32">
        <f t="shared" si="40"/>
        <v>7</v>
      </c>
      <c r="I283" s="84">
        <v>8</v>
      </c>
      <c r="J283" s="95">
        <v>2</v>
      </c>
      <c r="K283" s="84">
        <v>1</v>
      </c>
      <c r="M283" s="96">
        <v>15.8</v>
      </c>
      <c r="N283" s="96">
        <v>14</v>
      </c>
      <c r="O283" s="93">
        <f t="shared" si="41"/>
        <v>81.020769229912531</v>
      </c>
      <c r="P283" s="96">
        <f t="shared" si="43"/>
        <v>12.552307774034107</v>
      </c>
      <c r="Q283" s="97">
        <v>11.6</v>
      </c>
      <c r="R283" s="96">
        <v>12.9</v>
      </c>
      <c r="S283" s="96">
        <v>14.6</v>
      </c>
      <c r="T283" s="96">
        <v>18</v>
      </c>
      <c r="U283" s="96">
        <v>9.9</v>
      </c>
      <c r="V283" s="96">
        <f t="shared" si="42"/>
        <v>13.95</v>
      </c>
      <c r="W283" s="96">
        <v>6.9</v>
      </c>
      <c r="X283" s="96">
        <v>8.9</v>
      </c>
      <c r="Y283" s="98">
        <v>2.8</v>
      </c>
      <c r="Z283" s="99">
        <v>7.4</v>
      </c>
    </row>
    <row r="284" spans="1:26">
      <c r="A284" s="78">
        <f t="shared" si="38"/>
        <v>45573</v>
      </c>
      <c r="B284" s="91">
        <v>29.184000000000001</v>
      </c>
      <c r="C284" s="92">
        <f t="shared" si="39"/>
        <v>988.28347392000012</v>
      </c>
      <c r="D284" s="92">
        <v>74.599999999999994</v>
      </c>
      <c r="E284" s="92">
        <f>(C284-0.163*((D284-32)*5/9) + (0.5685 *((C284-0.163*((D284-32)*5/9)))/1000)) *EXP([8]Calc!$C$14/((M284+273.15)+((0.0065*64.6)/2)+(0.12*0.85*((6.112*EXP((17.67*M284)/(M284+243.5)))))))</f>
        <v>992.56837198910443</v>
      </c>
      <c r="F284" s="93">
        <v>8</v>
      </c>
      <c r="G284" s="94">
        <v>10</v>
      </c>
      <c r="H284" s="32">
        <f t="shared" si="40"/>
        <v>7</v>
      </c>
      <c r="I284" s="84">
        <v>7</v>
      </c>
      <c r="J284" s="95">
        <v>60</v>
      </c>
      <c r="K284" s="84">
        <v>2</v>
      </c>
      <c r="M284" s="96">
        <v>12.9</v>
      </c>
      <c r="N284" s="96">
        <v>12.6</v>
      </c>
      <c r="O284" s="93">
        <f t="shared" si="41"/>
        <v>96.439326437962421</v>
      </c>
      <c r="P284" s="96">
        <f t="shared" si="43"/>
        <v>12.347229937285869</v>
      </c>
      <c r="Q284" s="97">
        <v>12.4</v>
      </c>
      <c r="R284" s="96">
        <v>13.3</v>
      </c>
      <c r="S284" s="96">
        <v>14.5</v>
      </c>
      <c r="T284" s="96">
        <v>16.7</v>
      </c>
      <c r="U284" s="96">
        <v>10.9</v>
      </c>
      <c r="V284" s="96">
        <f t="shared" si="42"/>
        <v>13.8</v>
      </c>
      <c r="W284" s="96">
        <v>6.8</v>
      </c>
      <c r="X284" s="96">
        <v>8.5</v>
      </c>
      <c r="Y284" s="98">
        <v>14.7</v>
      </c>
      <c r="Z284" s="99">
        <v>2</v>
      </c>
    </row>
    <row r="285" spans="1:26">
      <c r="A285" s="78">
        <f t="shared" si="38"/>
        <v>45574</v>
      </c>
      <c r="B285" s="91">
        <v>29.013999999999999</v>
      </c>
      <c r="C285" s="92">
        <f t="shared" si="39"/>
        <v>982.52661432000002</v>
      </c>
      <c r="D285" s="92">
        <v>74.2</v>
      </c>
      <c r="E285" s="92">
        <f>(C285-0.163*((D285-32)*5/9) + (0.5685 *((C285-0.163*((D285-32)*5/9)))/1000)) *EXP([8]Calc!$C$14/((M285+273.15)+((0.0065*64.6)/2)+(0.12*0.85*((6.112*EXP((17.67*M285)/(M285+243.5)))))))</f>
        <v>986.81198589599671</v>
      </c>
      <c r="F285" s="93">
        <v>8</v>
      </c>
      <c r="G285" s="94">
        <v>4</v>
      </c>
      <c r="H285" s="32">
        <f t="shared" si="40"/>
        <v>2.8</v>
      </c>
      <c r="I285" s="84">
        <v>7</v>
      </c>
      <c r="J285" s="95">
        <v>2</v>
      </c>
      <c r="K285" s="84">
        <v>1</v>
      </c>
      <c r="M285" s="96">
        <v>12.5</v>
      </c>
      <c r="N285" s="96">
        <v>12</v>
      </c>
      <c r="O285" s="93">
        <f t="shared" si="41"/>
        <v>94.002759157963567</v>
      </c>
      <c r="P285" s="96">
        <f t="shared" si="43"/>
        <v>11.56144173700825</v>
      </c>
      <c r="Q285" s="97">
        <v>13.3</v>
      </c>
      <c r="R285" s="96">
        <v>13.4</v>
      </c>
      <c r="S285" s="96">
        <v>14.4</v>
      </c>
      <c r="T285" s="96">
        <v>15.7</v>
      </c>
      <c r="U285" s="96">
        <v>12</v>
      </c>
      <c r="V285" s="96">
        <f t="shared" si="42"/>
        <v>13.85</v>
      </c>
      <c r="W285" s="96">
        <v>10.6</v>
      </c>
      <c r="X285" s="96">
        <v>11.5</v>
      </c>
      <c r="Y285" s="98">
        <v>2.8</v>
      </c>
      <c r="Z285" s="99">
        <v>0.9</v>
      </c>
    </row>
    <row r="286" spans="1:26">
      <c r="A286" s="78">
        <f t="shared" si="38"/>
        <v>45575</v>
      </c>
      <c r="B286" s="91">
        <v>29.568000000000001</v>
      </c>
      <c r="C286" s="92">
        <f t="shared" si="39"/>
        <v>1001.2872038400001</v>
      </c>
      <c r="D286" s="92">
        <v>71.900000000000006</v>
      </c>
      <c r="E286" s="92">
        <f>(C286-0.163*((D286-32)*5/9) + (0.5685 *((C286-0.163*((D286-32)*5/9)))/1000)) *EXP([8]Calc!$C$14/((M286+273.15)+((0.0065*64.6)/2)+(0.12*0.85*((6.112*EXP((17.67*M286)/(M286+243.5)))))))</f>
        <v>1006.0536534939241</v>
      </c>
      <c r="F286" s="93">
        <v>8</v>
      </c>
      <c r="G286" s="94">
        <v>6</v>
      </c>
      <c r="H286" s="32">
        <f t="shared" si="40"/>
        <v>4.1999999999999993</v>
      </c>
      <c r="I286" s="84">
        <v>8</v>
      </c>
      <c r="J286" s="95">
        <v>60</v>
      </c>
      <c r="K286" s="84">
        <v>1</v>
      </c>
      <c r="M286" s="96">
        <v>8.6</v>
      </c>
      <c r="N286" s="96">
        <v>7.3</v>
      </c>
      <c r="O286" s="93">
        <f t="shared" si="41"/>
        <v>82.220933811656835</v>
      </c>
      <c r="P286" s="96">
        <f t="shared" si="43"/>
        <v>5.7412136973903145</v>
      </c>
      <c r="Q286" s="97">
        <v>12</v>
      </c>
      <c r="R286" s="96">
        <v>13.6</v>
      </c>
      <c r="S286" s="96">
        <v>14.3</v>
      </c>
      <c r="T286" s="96">
        <v>11.5</v>
      </c>
      <c r="U286" s="96">
        <v>7.7</v>
      </c>
      <c r="V286" s="96">
        <f t="shared" si="42"/>
        <v>9.6</v>
      </c>
      <c r="W286" s="96">
        <v>7.9</v>
      </c>
      <c r="X286" s="96">
        <v>8.6</v>
      </c>
      <c r="Y286" s="98" t="s">
        <v>22</v>
      </c>
      <c r="Z286" s="99">
        <v>3.6</v>
      </c>
    </row>
    <row r="287" spans="1:26">
      <c r="A287" s="78">
        <f t="shared" si="38"/>
        <v>45576</v>
      </c>
      <c r="B287" s="91">
        <v>29.916</v>
      </c>
      <c r="C287" s="92">
        <f t="shared" si="39"/>
        <v>1013.07183408</v>
      </c>
      <c r="D287" s="92">
        <v>71.8</v>
      </c>
      <c r="E287" s="92">
        <f>(C287-0.163*((D287-32)*5/9) + (0.5685 *((C287-0.163*((D287-32)*5/9)))/1000)) *EXP([8]Calc!$C$14/((M287+273.15)+((0.0065*64.6)/2)+(0.12*0.85*((6.112*EXP((17.67*M287)/(M287+243.5)))))))</f>
        <v>1017.9948392970516</v>
      </c>
      <c r="F287" s="93">
        <v>0</v>
      </c>
      <c r="G287" s="94">
        <v>0</v>
      </c>
      <c r="H287" s="32">
        <f t="shared" si="40"/>
        <v>0</v>
      </c>
      <c r="I287" s="84">
        <v>8</v>
      </c>
      <c r="J287" s="95">
        <v>0</v>
      </c>
      <c r="K287" s="84">
        <v>1</v>
      </c>
      <c r="M287" s="96">
        <v>7</v>
      </c>
      <c r="N287" s="96">
        <v>5.2</v>
      </c>
      <c r="O287" s="93">
        <f t="shared" si="41"/>
        <v>73.930878884738732</v>
      </c>
      <c r="P287" s="96">
        <f t="shared" si="43"/>
        <v>2.6711429809024145</v>
      </c>
      <c r="Q287" s="97">
        <v>7.5</v>
      </c>
      <c r="R287" s="96">
        <v>12.7</v>
      </c>
      <c r="S287" s="96">
        <v>14.4</v>
      </c>
      <c r="T287" s="96">
        <v>12.6</v>
      </c>
      <c r="U287" s="96">
        <v>0.6</v>
      </c>
      <c r="V287" s="96">
        <f t="shared" si="42"/>
        <v>6.6</v>
      </c>
      <c r="W287" s="96">
        <v>-1.5</v>
      </c>
      <c r="X287" s="96">
        <v>0.1</v>
      </c>
      <c r="Y287" s="98">
        <v>0.2</v>
      </c>
      <c r="Z287" s="99">
        <v>7.9</v>
      </c>
    </row>
    <row r="288" spans="1:26">
      <c r="A288" s="78">
        <f t="shared" si="38"/>
        <v>45577</v>
      </c>
      <c r="B288" s="91">
        <v>29.568000000000001</v>
      </c>
      <c r="C288" s="92">
        <f t="shared" si="39"/>
        <v>1001.2872038400001</v>
      </c>
      <c r="D288" s="92">
        <v>73</v>
      </c>
      <c r="E288" s="92">
        <f>(C288-0.163*((D288-32)*5/9) + (0.5685 *((C288-0.163*((D288-32)*5/9)))/1000)) *EXP([8]Calc!$C$14/((M288+273.15)+((0.0065*64.6)/2)+(0.12*0.85*((6.112*EXP((17.67*M288)/(M288+243.5)))))))</f>
        <v>1005.887795047517</v>
      </c>
      <c r="F288" s="93">
        <v>7</v>
      </c>
      <c r="G288" s="94">
        <v>8</v>
      </c>
      <c r="H288" s="32">
        <f t="shared" si="40"/>
        <v>5.6</v>
      </c>
      <c r="I288" s="84">
        <v>8</v>
      </c>
      <c r="J288" s="95">
        <v>3</v>
      </c>
      <c r="K288" s="84">
        <v>1</v>
      </c>
      <c r="M288" s="96">
        <v>10.8</v>
      </c>
      <c r="N288" s="96">
        <v>9.1</v>
      </c>
      <c r="O288" s="93">
        <f t="shared" si="41"/>
        <v>78.731315896370646</v>
      </c>
      <c r="P288" s="96">
        <f t="shared" si="43"/>
        <v>7.2559914140891459</v>
      </c>
      <c r="Q288" s="97">
        <v>10</v>
      </c>
      <c r="R288" s="96">
        <v>11.7</v>
      </c>
      <c r="S288" s="96">
        <v>14.4</v>
      </c>
      <c r="T288" s="96">
        <v>15</v>
      </c>
      <c r="U288" s="96">
        <v>6.5</v>
      </c>
      <c r="V288" s="96">
        <f t="shared" si="42"/>
        <v>10.75</v>
      </c>
      <c r="W288" s="96">
        <v>0.5</v>
      </c>
      <c r="X288" s="96">
        <v>3.4</v>
      </c>
      <c r="Y288" s="98">
        <v>0.6</v>
      </c>
      <c r="Z288" s="99">
        <v>3.6</v>
      </c>
    </row>
    <row r="289" spans="1:26">
      <c r="A289" s="78">
        <f t="shared" si="38"/>
        <v>45578</v>
      </c>
      <c r="B289" s="91">
        <v>29.992000000000001</v>
      </c>
      <c r="C289" s="92">
        <f t="shared" si="39"/>
        <v>1015.6454889600001</v>
      </c>
      <c r="D289" s="92">
        <v>71.400000000000006</v>
      </c>
      <c r="E289" s="92">
        <f>(C289-0.163*((D289-32)*5/9) + (0.5685 *((C289-0.163*((D289-32)*5/9)))/1000)) *EXP([8]Calc!$C$14/((M289+273.15)+((0.0065*64.6)/2)+(0.12*0.85*((6.112*EXP((17.67*M289)/(M289+243.5)))))))</f>
        <v>1020.6054800853105</v>
      </c>
      <c r="F289" s="93">
        <v>7</v>
      </c>
      <c r="G289" s="94">
        <v>3</v>
      </c>
      <c r="H289" s="32">
        <f t="shared" si="40"/>
        <v>2.0999999999999996</v>
      </c>
      <c r="I289" s="84">
        <v>8</v>
      </c>
      <c r="J289" s="95">
        <v>2</v>
      </c>
      <c r="K289" s="84">
        <v>1</v>
      </c>
      <c r="M289" s="96">
        <v>7.7</v>
      </c>
      <c r="N289" s="96">
        <v>4.9000000000000004</v>
      </c>
      <c r="O289" s="93">
        <f t="shared" si="41"/>
        <v>61.119799759484472</v>
      </c>
      <c r="P289" s="96">
        <f t="shared" si="43"/>
        <v>0.68130077978594084</v>
      </c>
      <c r="Q289" s="97">
        <v>8.1999999999999993</v>
      </c>
      <c r="R289" s="96">
        <v>11.6</v>
      </c>
      <c r="S289" s="96">
        <v>14.2</v>
      </c>
      <c r="T289" s="96">
        <v>10.5</v>
      </c>
      <c r="U289" s="96">
        <v>4.2</v>
      </c>
      <c r="V289" s="96">
        <f t="shared" si="42"/>
        <v>7.35</v>
      </c>
      <c r="W289" s="96">
        <v>-0.2</v>
      </c>
      <c r="X289" s="96">
        <v>2.7</v>
      </c>
      <c r="Y289" s="98">
        <v>9.1</v>
      </c>
      <c r="Z289" s="99">
        <v>0.8</v>
      </c>
    </row>
    <row r="290" spans="1:26">
      <c r="A290" s="78">
        <f t="shared" si="38"/>
        <v>45579</v>
      </c>
      <c r="B290" s="91">
        <v>29.78</v>
      </c>
      <c r="C290" s="92">
        <f t="shared" si="39"/>
        <v>1008.4663464000001</v>
      </c>
      <c r="D290" s="92">
        <v>71</v>
      </c>
      <c r="E290" s="92">
        <f>(C290-0.163*((D290-32)*5/9) + (0.5685 *((C290-0.163*((D290-32)*5/9)))/1000)) *EXP([8]Calc!$C$14/((M290+273.15)+((0.0065*64.6)/2)+(0.12*0.85*((6.112*EXP((17.67*M290)/(M290+243.5)))))))</f>
        <v>1013.3782855518496</v>
      </c>
      <c r="F290" s="93">
        <v>8</v>
      </c>
      <c r="G290" s="94">
        <v>8</v>
      </c>
      <c r="H290" s="32">
        <f t="shared" si="40"/>
        <v>5.6</v>
      </c>
      <c r="I290" s="84">
        <v>8</v>
      </c>
      <c r="J290" s="95">
        <v>2</v>
      </c>
      <c r="K290" s="84">
        <v>2</v>
      </c>
      <c r="M290" s="96">
        <v>8.5</v>
      </c>
      <c r="N290" s="96">
        <v>8.1999999999999993</v>
      </c>
      <c r="O290" s="93">
        <f t="shared" si="41"/>
        <v>95.821895797480877</v>
      </c>
      <c r="P290" s="96">
        <f t="shared" si="43"/>
        <v>7.8716591942786858</v>
      </c>
      <c r="Q290" s="97">
        <v>9.4</v>
      </c>
      <c r="R290" s="96">
        <v>11.4</v>
      </c>
      <c r="S290" s="96">
        <v>14</v>
      </c>
      <c r="T290" s="96">
        <v>12.4</v>
      </c>
      <c r="U290" s="96">
        <v>6.9</v>
      </c>
      <c r="V290" s="96">
        <f t="shared" si="42"/>
        <v>9.65</v>
      </c>
      <c r="W290" s="96">
        <v>6</v>
      </c>
      <c r="X290" s="96">
        <v>7.4</v>
      </c>
      <c r="Y290" s="98">
        <v>2.5</v>
      </c>
      <c r="Z290" s="99">
        <v>0</v>
      </c>
    </row>
    <row r="291" spans="1:26">
      <c r="A291" s="78">
        <f t="shared" si="38"/>
        <v>45580</v>
      </c>
      <c r="B291" s="91">
        <v>29.835999999999999</v>
      </c>
      <c r="C291" s="92">
        <f t="shared" si="39"/>
        <v>1010.36272368</v>
      </c>
      <c r="D291" s="92">
        <v>73.2</v>
      </c>
      <c r="E291" s="92">
        <f>(C291-0.163*((D291-32)*5/9) + (0.5685 *((C291-0.163*((D291-32)*5/9)))/1000)) *EXP([8]Calc!$C$14/((M291+273.15)+((0.0065*64.6)/2)+(0.12*0.85*((6.112*EXP((17.67*M291)/(M291+243.5)))))))</f>
        <v>1014.9729497434905</v>
      </c>
      <c r="F291" s="93">
        <v>8</v>
      </c>
      <c r="G291" s="94">
        <v>8</v>
      </c>
      <c r="H291" s="32">
        <f t="shared" si="40"/>
        <v>5.6</v>
      </c>
      <c r="I291" s="84">
        <v>6</v>
      </c>
      <c r="J291" s="95">
        <v>2</v>
      </c>
      <c r="K291" s="84">
        <v>2</v>
      </c>
      <c r="M291" s="96">
        <v>12.4</v>
      </c>
      <c r="N291" s="96">
        <v>11.8</v>
      </c>
      <c r="O291" s="93">
        <f t="shared" si="41"/>
        <v>92.789690174308078</v>
      </c>
      <c r="P291" s="96">
        <f t="shared" si="43"/>
        <v>11.266088604294957</v>
      </c>
      <c r="Q291" s="97">
        <v>11.2</v>
      </c>
      <c r="R291" s="96">
        <v>11.7</v>
      </c>
      <c r="S291" s="96">
        <v>13.7</v>
      </c>
      <c r="T291" s="96">
        <v>16.3</v>
      </c>
      <c r="U291" s="96">
        <v>8.1999999999999993</v>
      </c>
      <c r="V291" s="96">
        <f t="shared" si="42"/>
        <v>12.25</v>
      </c>
      <c r="W291" s="96">
        <v>9.5</v>
      </c>
      <c r="X291" s="96">
        <v>9.3000000000000007</v>
      </c>
      <c r="Y291" s="98">
        <v>1.8</v>
      </c>
      <c r="Z291" s="99">
        <v>0</v>
      </c>
    </row>
    <row r="292" spans="1:26">
      <c r="A292" s="78">
        <f t="shared" si="38"/>
        <v>45581</v>
      </c>
      <c r="B292" s="91">
        <v>29.468</v>
      </c>
      <c r="C292" s="92">
        <f t="shared" si="39"/>
        <v>997.90081584000006</v>
      </c>
      <c r="D292" s="92">
        <v>75.7</v>
      </c>
      <c r="E292" s="92">
        <f>(C292-0.163*((D292-32)*5/9) + (0.5685 *((C292-0.163*((D292-32)*5/9)))/1000)) *EXP([8]Calc!$C$14/((M292+273.15)+((0.0065*64.6)/2)+(0.12*0.85*((6.112*EXP((17.67*M292)/(M292+243.5)))))))</f>
        <v>1002.0858030784095</v>
      </c>
      <c r="F292" s="93">
        <v>8</v>
      </c>
      <c r="G292" s="94">
        <v>8</v>
      </c>
      <c r="H292" s="32">
        <f t="shared" si="40"/>
        <v>5.6</v>
      </c>
      <c r="I292" s="84">
        <v>4</v>
      </c>
      <c r="J292" s="95">
        <v>51</v>
      </c>
      <c r="K292" s="84">
        <v>1</v>
      </c>
      <c r="M292" s="96">
        <v>15.6</v>
      </c>
      <c r="N292" s="96">
        <v>15.3</v>
      </c>
      <c r="O292" s="93">
        <f t="shared" si="41"/>
        <v>96.73827764850455</v>
      </c>
      <c r="P292" s="96">
        <f t="shared" si="43"/>
        <v>15.083630191569668</v>
      </c>
      <c r="Q292" s="97">
        <v>13.7</v>
      </c>
      <c r="R292" s="96">
        <v>12.7</v>
      </c>
      <c r="S292" s="96">
        <v>13.6</v>
      </c>
      <c r="T292" s="96">
        <v>18.600000000000001</v>
      </c>
      <c r="U292" s="96">
        <v>12.3</v>
      </c>
      <c r="V292" s="96">
        <f t="shared" si="42"/>
        <v>15.450000000000001</v>
      </c>
      <c r="W292" s="96">
        <v>13</v>
      </c>
      <c r="X292" s="96">
        <v>12.5</v>
      </c>
      <c r="Y292" s="98">
        <v>3.3</v>
      </c>
      <c r="Z292" s="99">
        <v>0</v>
      </c>
    </row>
    <row r="293" spans="1:26">
      <c r="A293" s="78">
        <f t="shared" si="38"/>
        <v>45582</v>
      </c>
      <c r="B293" s="91">
        <v>29.738</v>
      </c>
      <c r="C293" s="92">
        <f t="shared" si="39"/>
        <v>1007.0440634400001</v>
      </c>
      <c r="D293" s="92">
        <v>75</v>
      </c>
      <c r="E293" s="92">
        <f>(C293-0.163*((D293-32)*5/9) + (0.5685 *((C293-0.163*((D293-32)*5/9)))/1000)) *EXP([8]Calc!$C$14/((M293+273.15)+((0.0065*64.6)/2)+(0.12*0.85*((6.112*EXP((17.67*M293)/(M293+243.5)))))))</f>
        <v>1011.4121105936051</v>
      </c>
      <c r="F293" s="93">
        <v>1</v>
      </c>
      <c r="G293" s="94">
        <v>13</v>
      </c>
      <c r="H293" s="32">
        <f t="shared" si="40"/>
        <v>9.1</v>
      </c>
      <c r="I293" s="84">
        <v>8</v>
      </c>
      <c r="J293" s="95">
        <v>2</v>
      </c>
      <c r="K293" s="84">
        <v>1</v>
      </c>
      <c r="M293" s="96">
        <v>14.1</v>
      </c>
      <c r="N293" s="96">
        <v>12.7</v>
      </c>
      <c r="O293" s="93">
        <f t="shared" si="41"/>
        <v>84.310795206182831</v>
      </c>
      <c r="P293" s="96">
        <f t="shared" si="43"/>
        <v>11.494603846729664</v>
      </c>
      <c r="Q293" s="97">
        <v>13.5</v>
      </c>
      <c r="R293" s="96">
        <v>13.7</v>
      </c>
      <c r="S293" s="96">
        <v>13.8</v>
      </c>
      <c r="T293" s="96">
        <v>18.100000000000001</v>
      </c>
      <c r="U293" s="96">
        <v>11.9</v>
      </c>
      <c r="V293" s="96">
        <f t="shared" si="42"/>
        <v>15</v>
      </c>
      <c r="W293" s="96">
        <v>7.6</v>
      </c>
      <c r="X293" s="96">
        <v>10.5</v>
      </c>
      <c r="Y293" s="98">
        <v>0.3</v>
      </c>
      <c r="Z293" s="99">
        <v>7.7</v>
      </c>
    </row>
    <row r="294" spans="1:26">
      <c r="A294" s="78">
        <f t="shared" si="38"/>
        <v>45583</v>
      </c>
      <c r="B294" s="91">
        <v>29.846</v>
      </c>
      <c r="C294" s="92">
        <f t="shared" si="39"/>
        <v>1010.7013624800001</v>
      </c>
      <c r="D294" s="92">
        <v>74.599999999999994</v>
      </c>
      <c r="E294" s="92">
        <f>(C294-0.163*((D294-32)*5/9) + (0.5685 *((C294-0.163*((D294-32)*5/9)))/1000)) *EXP([8]Calc!$C$14/((M294+273.15)+((0.0065*64.6)/2)+(0.12*0.85*((6.112*EXP((17.67*M294)/(M294+243.5)))))))</f>
        <v>1015.219368094127</v>
      </c>
      <c r="F294" s="93">
        <v>7</v>
      </c>
      <c r="G294" s="94">
        <v>6</v>
      </c>
      <c r="H294" s="32">
        <f t="shared" si="40"/>
        <v>4.1999999999999993</v>
      </c>
      <c r="I294" s="84">
        <v>7</v>
      </c>
      <c r="J294" s="95">
        <v>2</v>
      </c>
      <c r="K294" s="84">
        <v>1</v>
      </c>
      <c r="M294" s="96">
        <v>11.3</v>
      </c>
      <c r="N294" s="96">
        <v>11.1</v>
      </c>
      <c r="O294" s="93">
        <f t="shared" si="41"/>
        <v>97.486600097430284</v>
      </c>
      <c r="P294" s="96">
        <f t="shared" si="43"/>
        <v>10.916481289215426</v>
      </c>
      <c r="Q294" s="97">
        <v>12</v>
      </c>
      <c r="R294" s="96">
        <v>13</v>
      </c>
      <c r="S294" s="96">
        <v>13.7</v>
      </c>
      <c r="T294" s="96">
        <v>16.399999999999999</v>
      </c>
      <c r="U294" s="96">
        <v>8.4</v>
      </c>
      <c r="V294" s="96">
        <f t="shared" si="42"/>
        <v>12.399999999999999</v>
      </c>
      <c r="W294" s="96">
        <v>4.4000000000000004</v>
      </c>
      <c r="X294" s="96">
        <v>4.0999999999999996</v>
      </c>
      <c r="Y294" s="98">
        <v>10.1</v>
      </c>
      <c r="Z294" s="99">
        <v>5</v>
      </c>
    </row>
    <row r="295" spans="1:26">
      <c r="A295" s="78">
        <f t="shared" si="38"/>
        <v>45584</v>
      </c>
      <c r="B295" s="91">
        <v>29.626000000000001</v>
      </c>
      <c r="C295" s="92">
        <f t="shared" si="39"/>
        <v>1003.2513088800001</v>
      </c>
      <c r="D295" s="92">
        <v>74</v>
      </c>
      <c r="E295" s="92">
        <f>(C295-0.163*((D295-32)*5/9) + (0.5685 *((C295-0.163*((D295-32)*5/9)))/1000)) *EXP([8]Calc!$C$14/((M295+273.15)+((0.0065*64.6)/2)+(0.12*0.85*((6.112*EXP((17.67*M295)/(M295+243.5)))))))</f>
        <v>1007.7177468282748</v>
      </c>
      <c r="F295" s="93">
        <v>7</v>
      </c>
      <c r="G295" s="94">
        <v>10</v>
      </c>
      <c r="H295" s="32">
        <f t="shared" si="40"/>
        <v>7</v>
      </c>
      <c r="I295" s="84">
        <v>8</v>
      </c>
      <c r="J295" s="95">
        <v>2</v>
      </c>
      <c r="K295" s="84">
        <v>1</v>
      </c>
      <c r="M295" s="96">
        <v>12.8</v>
      </c>
      <c r="N295" s="96">
        <v>12.4</v>
      </c>
      <c r="O295" s="93">
        <f t="shared" si="41"/>
        <v>95.24376256426855</v>
      </c>
      <c r="P295" s="96">
        <f t="shared" si="43"/>
        <v>12.058168717652105</v>
      </c>
      <c r="Q295" s="97">
        <v>13.4</v>
      </c>
      <c r="R295" s="96">
        <v>13.1</v>
      </c>
      <c r="S295" s="96">
        <v>13.7</v>
      </c>
      <c r="T295" s="96">
        <v>17.399999999999999</v>
      </c>
      <c r="U295" s="96">
        <v>9.5</v>
      </c>
      <c r="V295" s="96">
        <f t="shared" si="42"/>
        <v>13.45</v>
      </c>
      <c r="W295" s="96">
        <v>11.4</v>
      </c>
      <c r="X295" s="96">
        <v>11.7</v>
      </c>
      <c r="Y295" s="98">
        <v>1.8</v>
      </c>
      <c r="Z295" s="99">
        <v>6.4</v>
      </c>
    </row>
    <row r="296" spans="1:26">
      <c r="A296" s="78">
        <f t="shared" si="38"/>
        <v>45585</v>
      </c>
      <c r="B296" s="91">
        <v>29.57</v>
      </c>
      <c r="C296" s="92">
        <f t="shared" si="39"/>
        <v>1001.3549316000001</v>
      </c>
      <c r="D296" s="92">
        <v>73.5</v>
      </c>
      <c r="E296" s="92">
        <f>(C296-0.163*((D296-32)*5/9) + (0.5685 *((C296-0.163*((D296-32)*5/9)))/1000)) *EXP([8]Calc!$C$14/((M296+273.15)+((0.0065*64.6)/2)+(0.12*0.85*((6.112*EXP((17.67*M296)/(M296+243.5)))))))</f>
        <v>1005.8160138408069</v>
      </c>
      <c r="F296" s="93">
        <v>8</v>
      </c>
      <c r="G296" s="94">
        <v>16</v>
      </c>
      <c r="H296" s="32">
        <f t="shared" si="40"/>
        <v>11.2</v>
      </c>
      <c r="I296" s="84">
        <v>8</v>
      </c>
      <c r="J296" s="95">
        <v>62</v>
      </c>
      <c r="K296" s="84">
        <v>1</v>
      </c>
      <c r="M296" s="96">
        <v>14</v>
      </c>
      <c r="N296" s="96">
        <v>13.3</v>
      </c>
      <c r="O296" s="93">
        <f t="shared" si="41"/>
        <v>92.041724707385654</v>
      </c>
      <c r="P296" s="96">
        <f t="shared" si="43"/>
        <v>12.728339950955901</v>
      </c>
      <c r="Q296" s="97">
        <v>12.2</v>
      </c>
      <c r="R296" s="96">
        <v>12.9</v>
      </c>
      <c r="S296" s="96">
        <v>13.7</v>
      </c>
      <c r="T296" s="96">
        <v>17.3</v>
      </c>
      <c r="U296" s="96">
        <v>10.199999999999999</v>
      </c>
      <c r="V296" s="96">
        <f t="shared" si="42"/>
        <v>13.75</v>
      </c>
      <c r="W296" s="96">
        <v>3.9</v>
      </c>
      <c r="X296" s="96">
        <v>7.4</v>
      </c>
      <c r="Y296" s="98">
        <v>2.8</v>
      </c>
      <c r="Z296" s="99">
        <v>1.6</v>
      </c>
    </row>
    <row r="297" spans="1:26">
      <c r="A297" s="78">
        <f t="shared" si="38"/>
        <v>45586</v>
      </c>
      <c r="B297" s="91">
        <v>29.988</v>
      </c>
      <c r="C297" s="92">
        <f t="shared" si="39"/>
        <v>1015.51003344</v>
      </c>
      <c r="D297" s="92">
        <v>73</v>
      </c>
      <c r="E297" s="92">
        <f>(C297-0.163*((D297-32)*5/9) + (0.5685 *((C297-0.163*((D297-32)*5/9)))/1000)) *EXP([8]Calc!$C$14/((M297+273.15)+((0.0065*64.6)/2)+(0.12*0.85*((6.112*EXP((17.67*M297)/(M297+243.5)))))))</f>
        <v>1020.1811721312777</v>
      </c>
      <c r="F297" s="93">
        <v>8</v>
      </c>
      <c r="G297" s="94">
        <v>2</v>
      </c>
      <c r="H297" s="32">
        <f t="shared" si="40"/>
        <v>1.4</v>
      </c>
      <c r="I297" s="84">
        <v>7</v>
      </c>
      <c r="J297" s="95">
        <v>2</v>
      </c>
      <c r="K297" s="84">
        <v>1</v>
      </c>
      <c r="M297" s="96">
        <v>12.4</v>
      </c>
      <c r="N297" s="96">
        <v>10.9</v>
      </c>
      <c r="O297" s="93">
        <f t="shared" si="41"/>
        <v>82.222210479619193</v>
      </c>
      <c r="P297" s="96">
        <f t="shared" si="43"/>
        <v>9.4551153167925506</v>
      </c>
      <c r="Q297" s="97">
        <v>11.4</v>
      </c>
      <c r="R297" s="96">
        <v>12.8</v>
      </c>
      <c r="S297" s="96">
        <v>13.7</v>
      </c>
      <c r="T297" s="96">
        <v>13.8</v>
      </c>
      <c r="U297" s="96">
        <v>10.4</v>
      </c>
      <c r="V297" s="96">
        <f t="shared" si="42"/>
        <v>12.100000000000001</v>
      </c>
      <c r="W297" s="96">
        <v>7.6</v>
      </c>
      <c r="X297" s="96">
        <v>9</v>
      </c>
      <c r="Y297" s="98" t="s">
        <v>22</v>
      </c>
      <c r="Z297" s="99">
        <v>0</v>
      </c>
    </row>
    <row r="298" spans="1:26">
      <c r="A298" s="78">
        <f t="shared" si="38"/>
        <v>45587</v>
      </c>
      <c r="B298" s="91">
        <v>30.204000000000001</v>
      </c>
      <c r="C298" s="92">
        <f t="shared" si="39"/>
        <v>1022.82463152</v>
      </c>
      <c r="D298" s="92">
        <v>73</v>
      </c>
      <c r="E298" s="92">
        <f>(C298-0.163*((D298-32)*5/9) + (0.5685 *((C298-0.163*((D298-32)*5/9)))/1000)) *EXP([8]Calc!$C$14/((M298+273.15)+((0.0065*64.6)/2)+(0.12*0.85*((6.112*EXP((17.67*M298)/(M298+243.5)))))))</f>
        <v>1027.5714595829741</v>
      </c>
      <c r="F298" s="93">
        <v>4</v>
      </c>
      <c r="G298" s="94">
        <v>12</v>
      </c>
      <c r="H298" s="32">
        <f t="shared" si="40"/>
        <v>8.3999999999999986</v>
      </c>
      <c r="I298" s="84">
        <v>8</v>
      </c>
      <c r="J298" s="95">
        <v>2</v>
      </c>
      <c r="K298" s="84">
        <v>1</v>
      </c>
      <c r="M298" s="96">
        <v>11.9</v>
      </c>
      <c r="N298" s="96">
        <v>10.7</v>
      </c>
      <c r="O298" s="93">
        <f t="shared" si="41"/>
        <v>85.460286802904363</v>
      </c>
      <c r="P298" s="96">
        <f t="shared" si="43"/>
        <v>9.540055985899679</v>
      </c>
      <c r="Q298" s="97">
        <v>10</v>
      </c>
      <c r="R298" s="96">
        <v>12.3</v>
      </c>
      <c r="S298" s="96">
        <v>13.6</v>
      </c>
      <c r="T298" s="96">
        <v>17.2</v>
      </c>
      <c r="U298" s="96">
        <v>7.4</v>
      </c>
      <c r="V298" s="96">
        <f t="shared" si="42"/>
        <v>12.3</v>
      </c>
      <c r="W298" s="96">
        <v>3.6</v>
      </c>
      <c r="X298" s="96">
        <v>5.2</v>
      </c>
      <c r="Y298" s="98" t="s">
        <v>22</v>
      </c>
      <c r="Z298" s="99">
        <v>5.5</v>
      </c>
    </row>
    <row r="299" spans="1:26">
      <c r="A299" s="78">
        <f t="shared" si="38"/>
        <v>45588</v>
      </c>
      <c r="B299" s="91">
        <v>30.372</v>
      </c>
      <c r="C299" s="92">
        <f t="shared" si="39"/>
        <v>1028.51376336</v>
      </c>
      <c r="D299" s="92">
        <v>74.2</v>
      </c>
      <c r="E299" s="92">
        <f>(C299-0.163*((D299-32)*5/9) + (0.5685 *((C299-0.163*((D299-32)*5/9)))/1000)) *EXP([8]Calc!$C$14/((M299+273.15)+((0.0065*64.6)/2)+(0.12*0.85*((6.112*EXP((17.67*M299)/(M299+243.5)))))))</f>
        <v>1033.1861167870411</v>
      </c>
      <c r="F299" s="93">
        <v>5</v>
      </c>
      <c r="G299" s="94">
        <v>7</v>
      </c>
      <c r="H299" s="32">
        <f t="shared" si="40"/>
        <v>4.8999999999999995</v>
      </c>
      <c r="I299" s="84">
        <v>8</v>
      </c>
      <c r="J299" s="95">
        <v>2</v>
      </c>
      <c r="K299" s="84">
        <v>1</v>
      </c>
      <c r="M299" s="96">
        <v>12.3</v>
      </c>
      <c r="N299" s="96">
        <v>11.8</v>
      </c>
      <c r="O299" s="93">
        <f t="shared" si="41"/>
        <v>93.961245467024796</v>
      </c>
      <c r="P299" s="96">
        <f t="shared" si="43"/>
        <v>11.356236709441813</v>
      </c>
      <c r="Q299" s="97">
        <v>10.8</v>
      </c>
      <c r="R299" s="96">
        <v>12.4</v>
      </c>
      <c r="S299" s="96">
        <v>13.7</v>
      </c>
      <c r="T299" s="96">
        <v>16.899999999999999</v>
      </c>
      <c r="U299" s="96">
        <v>9</v>
      </c>
      <c r="V299" s="96">
        <f t="shared" si="42"/>
        <v>12.95</v>
      </c>
      <c r="W299" s="96">
        <v>3.3</v>
      </c>
      <c r="X299" s="96">
        <v>5.8</v>
      </c>
      <c r="Y299" s="98">
        <v>0</v>
      </c>
      <c r="Z299" s="99">
        <v>2.8</v>
      </c>
    </row>
    <row r="300" spans="1:26">
      <c r="A300" s="78">
        <f t="shared" si="38"/>
        <v>45589</v>
      </c>
      <c r="B300" s="91">
        <v>29.95</v>
      </c>
      <c r="C300" s="92">
        <f t="shared" si="39"/>
        <v>1014.223206</v>
      </c>
      <c r="D300" s="92">
        <v>73.2</v>
      </c>
      <c r="E300" s="92">
        <f>(C300-0.163*((D300-32)*5/9) + (0.5685 *((C300-0.163*((D300-32)*5/9)))/1000)) *EXP([8]Calc!$C$14/((M300+273.15)+((0.0065*64.6)/2)+(0.12*0.85*((6.112*EXP((17.67*M300)/(M300+243.5)))))))</f>
        <v>1018.841537260197</v>
      </c>
      <c r="F300" s="93">
        <v>1</v>
      </c>
      <c r="G300" s="94">
        <v>6</v>
      </c>
      <c r="H300" s="32">
        <f t="shared" si="40"/>
        <v>4.1999999999999993</v>
      </c>
      <c r="I300" s="84">
        <v>8</v>
      </c>
      <c r="J300" s="95">
        <v>2</v>
      </c>
      <c r="K300" s="84">
        <v>1</v>
      </c>
      <c r="M300" s="96">
        <v>13.2</v>
      </c>
      <c r="N300" s="96">
        <v>12.9</v>
      </c>
      <c r="O300" s="93">
        <f t="shared" si="41"/>
        <v>96.475178746664696</v>
      </c>
      <c r="P300" s="96">
        <f t="shared" si="43"/>
        <v>12.651605063275738</v>
      </c>
      <c r="Q300" s="97">
        <v>9.6</v>
      </c>
      <c r="R300" s="96">
        <v>12.4</v>
      </c>
      <c r="S300" s="96">
        <v>13.7</v>
      </c>
      <c r="T300" s="96">
        <v>17.2</v>
      </c>
      <c r="U300" s="96">
        <v>9.1</v>
      </c>
      <c r="V300" s="96">
        <f t="shared" si="42"/>
        <v>13.149999999999999</v>
      </c>
      <c r="W300" s="96">
        <v>3.5</v>
      </c>
      <c r="X300" s="96">
        <v>5.4</v>
      </c>
      <c r="Y300" s="98" t="s">
        <v>22</v>
      </c>
      <c r="Z300" s="99">
        <v>8.3000000000000007</v>
      </c>
    </row>
    <row r="301" spans="1:26">
      <c r="A301" s="78">
        <f t="shared" si="38"/>
        <v>45590</v>
      </c>
      <c r="B301" s="91">
        <v>29.802</v>
      </c>
      <c r="C301" s="92">
        <f t="shared" si="39"/>
        <v>1009.2113517600001</v>
      </c>
      <c r="D301" s="92">
        <v>75</v>
      </c>
      <c r="E301" s="92">
        <f>(C301-0.163*((D301-32)*5/9) + (0.5685 *((C301-0.163*((D301-32)*5/9)))/1000)) *EXP([8]Calc!$C$14/((M301+273.15)+((0.0065*64.6)/2)+(0.12*0.85*((6.112*EXP((17.67*M301)/(M301+243.5)))))))</f>
        <v>1013.5647145558515</v>
      </c>
      <c r="F301" s="93">
        <v>8</v>
      </c>
      <c r="G301" s="94">
        <v>10</v>
      </c>
      <c r="H301" s="32">
        <f t="shared" si="40"/>
        <v>7</v>
      </c>
      <c r="I301" s="84">
        <v>8</v>
      </c>
      <c r="J301" s="95">
        <v>2</v>
      </c>
      <c r="K301" s="84">
        <v>1</v>
      </c>
      <c r="M301" s="84">
        <v>15.2</v>
      </c>
      <c r="N301" s="96">
        <v>14.6</v>
      </c>
      <c r="O301" s="93">
        <f t="shared" si="41"/>
        <v>93.426624036603599</v>
      </c>
      <c r="P301" s="96">
        <f t="shared" si="43"/>
        <v>14.14669298906365</v>
      </c>
      <c r="Q301" s="97">
        <v>13</v>
      </c>
      <c r="R301" s="96">
        <v>12.5</v>
      </c>
      <c r="S301" s="96">
        <v>13.5</v>
      </c>
      <c r="T301" s="96">
        <v>16.399999999999999</v>
      </c>
      <c r="U301" s="96">
        <v>13.2</v>
      </c>
      <c r="V301" s="96">
        <f t="shared" si="42"/>
        <v>14.799999999999999</v>
      </c>
      <c r="W301" s="96">
        <v>10</v>
      </c>
      <c r="X301" s="96">
        <v>10.3</v>
      </c>
      <c r="Y301" s="98">
        <v>1.3</v>
      </c>
      <c r="Z301" s="99">
        <v>0</v>
      </c>
    </row>
    <row r="302" spans="1:26">
      <c r="A302" s="78">
        <f t="shared" si="38"/>
        <v>45591</v>
      </c>
      <c r="B302" s="91">
        <v>29.902000000000001</v>
      </c>
      <c r="C302" s="92">
        <f t="shared" si="39"/>
        <v>1012.5977397600001</v>
      </c>
      <c r="D302" s="92">
        <v>71.7</v>
      </c>
      <c r="E302" s="92">
        <f>(C302-0.163*((D302-32)*5/9) + (0.5685 *((C302-0.163*((D302-32)*5/9)))/1000)) *EXP([8]Calc!$C$14/((M302+273.15)+((0.0065*64.6)/2)+(0.12*0.85*((6.112*EXP((17.67*M302)/(M302+243.5)))))))</f>
        <v>1017.423287177468</v>
      </c>
      <c r="F302" s="93">
        <v>8</v>
      </c>
      <c r="G302" s="94">
        <v>0</v>
      </c>
      <c r="H302" s="32">
        <f t="shared" si="40"/>
        <v>0</v>
      </c>
      <c r="I302" s="84">
        <v>8</v>
      </c>
      <c r="J302" s="95">
        <v>2</v>
      </c>
      <c r="K302" s="84">
        <v>1</v>
      </c>
      <c r="M302" s="96">
        <v>10.4</v>
      </c>
      <c r="N302" s="96">
        <v>10.199999999999999</v>
      </c>
      <c r="O302" s="93">
        <f t="shared" si="41"/>
        <v>97.403546254092461</v>
      </c>
      <c r="P302" s="96">
        <f t="shared" si="43"/>
        <v>10.006452746067737</v>
      </c>
      <c r="Q302" s="97">
        <v>11.3</v>
      </c>
      <c r="R302" s="96">
        <v>12.5</v>
      </c>
      <c r="S302" s="96">
        <v>13.4</v>
      </c>
      <c r="T302" s="96">
        <v>14.1</v>
      </c>
      <c r="U302" s="96">
        <v>8.9</v>
      </c>
      <c r="V302" s="96">
        <f t="shared" si="42"/>
        <v>11.5</v>
      </c>
      <c r="W302" s="96">
        <v>4.7</v>
      </c>
      <c r="X302" s="96">
        <v>7.2</v>
      </c>
      <c r="Y302" s="98">
        <v>0.5</v>
      </c>
      <c r="Z302" s="99">
        <v>0.9</v>
      </c>
    </row>
    <row r="303" spans="1:26">
      <c r="A303" s="78">
        <f t="shared" si="38"/>
        <v>45592</v>
      </c>
      <c r="B303" s="91">
        <v>30.068000000000001</v>
      </c>
      <c r="C303" s="92">
        <f t="shared" si="39"/>
        <v>1018.2191438400001</v>
      </c>
      <c r="D303" s="92">
        <v>75</v>
      </c>
      <c r="E303" s="92">
        <f>(C303-0.163*((D303-32)*5/9) + (0.5685 *((C303-0.163*((D303-32)*5/9)))/1000)) *EXP([8]Calc!$C$14/((M303+273.15)+((0.0065*64.6)/2)+(0.12*0.85*((6.112*EXP((17.67*M303)/(M303+243.5)))))))</f>
        <v>1022.7721941805457</v>
      </c>
      <c r="F303" s="93">
        <v>1</v>
      </c>
      <c r="G303" s="94">
        <v>0</v>
      </c>
      <c r="H303" s="32">
        <f t="shared" si="40"/>
        <v>0</v>
      </c>
      <c r="I303" s="84">
        <v>8</v>
      </c>
      <c r="J303" s="95">
        <v>3</v>
      </c>
      <c r="K303" s="84">
        <v>1</v>
      </c>
      <c r="M303" s="96">
        <v>11</v>
      </c>
      <c r="N303" s="96">
        <v>9.9</v>
      </c>
      <c r="O303" s="93">
        <f t="shared" si="41"/>
        <v>86.215554644772325</v>
      </c>
      <c r="P303" s="96">
        <f t="shared" si="43"/>
        <v>8.7866756503797738</v>
      </c>
      <c r="Q303" s="97">
        <v>9.8000000000000007</v>
      </c>
      <c r="R303" s="96">
        <v>12.5</v>
      </c>
      <c r="S303" s="96">
        <v>13.8</v>
      </c>
      <c r="T303" s="96">
        <v>14</v>
      </c>
      <c r="U303" s="96">
        <v>7.1</v>
      </c>
      <c r="V303" s="96">
        <f t="shared" si="42"/>
        <v>10.55</v>
      </c>
      <c r="W303" s="96">
        <v>4.0999999999999996</v>
      </c>
      <c r="X303" s="96">
        <v>4.8</v>
      </c>
      <c r="Y303" s="98">
        <v>0.1</v>
      </c>
      <c r="Z303" s="99">
        <v>7.6</v>
      </c>
    </row>
    <row r="304" spans="1:26">
      <c r="A304" s="78">
        <f t="shared" si="38"/>
        <v>45593</v>
      </c>
      <c r="B304" s="91">
        <v>30.018000000000001</v>
      </c>
      <c r="C304" s="92">
        <f t="shared" si="39"/>
        <v>1016.5259498400001</v>
      </c>
      <c r="D304" s="92">
        <v>71.8</v>
      </c>
      <c r="E304" s="92">
        <f>(C304-0.163*((D304-32)*5/9) + (0.5685 *((C304-0.163*((D304-32)*5/9)))/1000)) *EXP([8]Calc!$C$14/((M304+273.15)+((0.0065*64.6)/2)+(0.12*0.85*((6.112*EXP((17.67*M304)/(M304+243.5)))))))</f>
        <v>1021.2851549664414</v>
      </c>
      <c r="F304" s="93">
        <v>6</v>
      </c>
      <c r="G304" s="94">
        <v>11</v>
      </c>
      <c r="H304" s="32">
        <f t="shared" si="40"/>
        <v>7.6999999999999993</v>
      </c>
      <c r="I304" s="84">
        <v>8</v>
      </c>
      <c r="J304" s="95">
        <v>3</v>
      </c>
      <c r="K304" s="84">
        <v>1</v>
      </c>
      <c r="M304" s="96">
        <v>13.4</v>
      </c>
      <c r="N304" s="96">
        <v>12</v>
      </c>
      <c r="O304" s="93">
        <f t="shared" si="41"/>
        <v>83.940853342212677</v>
      </c>
      <c r="P304" s="96">
        <f t="shared" si="43"/>
        <v>10.742591814010357</v>
      </c>
      <c r="Q304" s="97">
        <v>11.2</v>
      </c>
      <c r="R304" s="96">
        <v>11.9</v>
      </c>
      <c r="S304" s="96">
        <v>13.4</v>
      </c>
      <c r="T304" s="96">
        <v>15.6</v>
      </c>
      <c r="U304" s="96">
        <v>10.4</v>
      </c>
      <c r="V304" s="96">
        <f t="shared" si="42"/>
        <v>13</v>
      </c>
      <c r="W304" s="96">
        <v>6.9</v>
      </c>
      <c r="X304" s="96">
        <v>7.6</v>
      </c>
      <c r="Y304" s="98">
        <v>0.2</v>
      </c>
      <c r="Z304" s="99">
        <v>0.2</v>
      </c>
    </row>
    <row r="305" spans="1:26">
      <c r="A305" s="78">
        <f t="shared" si="38"/>
        <v>45594</v>
      </c>
      <c r="B305" s="91">
        <v>30.13</v>
      </c>
      <c r="C305" s="92">
        <f t="shared" si="39"/>
        <v>1020.3187044</v>
      </c>
      <c r="D305" s="92">
        <v>73.2</v>
      </c>
      <c r="E305" s="92">
        <f>(C305-0.163*((D305-32)*5/9) + (0.5685 *((C305-0.163*((D305-32)*5/9)))/1000)) *EXP([8]Calc!$C$14/((M305+273.15)+((0.0065*64.6)/2)+(0.12*0.85*((6.112*EXP((17.67*M305)/(M305+243.5)))))))</f>
        <v>1024.981400345881</v>
      </c>
      <c r="F305" s="93">
        <v>7</v>
      </c>
      <c r="G305" s="94">
        <v>5</v>
      </c>
      <c r="H305" s="32">
        <f t="shared" si="40"/>
        <v>3.5</v>
      </c>
      <c r="I305" s="84">
        <v>8</v>
      </c>
      <c r="J305" s="95">
        <v>2</v>
      </c>
      <c r="K305" s="84">
        <v>1</v>
      </c>
      <c r="M305" s="96">
        <v>13.4</v>
      </c>
      <c r="N305" s="96">
        <v>12.7</v>
      </c>
      <c r="O305" s="93">
        <f t="shared" si="41"/>
        <v>91.881830661188374</v>
      </c>
      <c r="P305" s="96">
        <f t="shared" si="43"/>
        <v>12.107839873404789</v>
      </c>
      <c r="Q305" s="97">
        <v>12.6</v>
      </c>
      <c r="R305" s="96">
        <v>12.5</v>
      </c>
      <c r="S305" s="96">
        <v>13.3</v>
      </c>
      <c r="T305" s="96">
        <v>15.4</v>
      </c>
      <c r="U305" s="96">
        <v>12.6</v>
      </c>
      <c r="V305" s="96">
        <f t="shared" si="42"/>
        <v>14</v>
      </c>
      <c r="W305" s="96">
        <v>9.6</v>
      </c>
      <c r="X305" s="96">
        <v>10.9</v>
      </c>
      <c r="Y305" s="98">
        <v>0</v>
      </c>
      <c r="Z305" s="99">
        <v>0.8</v>
      </c>
    </row>
    <row r="306" spans="1:26">
      <c r="A306" s="78">
        <f t="shared" si="38"/>
        <v>45595</v>
      </c>
      <c r="B306" s="91">
        <v>30.277999999999999</v>
      </c>
      <c r="C306" s="92">
        <f t="shared" si="39"/>
        <v>1025.3305586399999</v>
      </c>
      <c r="D306" s="92">
        <v>72</v>
      </c>
      <c r="E306" s="92">
        <f>(C306-0.163*((D306-32)*5/9) + (0.5685 *((C306-0.163*((D306-32)*5/9)))/1000)) *EXP([8]Calc!$C$14/((M306+273.15)+((0.0065*64.6)/2)+(0.12*0.85*((6.112*EXP((17.67*M306)/(M306+243.5)))))))</f>
        <v>1030.1955483214699</v>
      </c>
      <c r="F306" s="93">
        <v>8</v>
      </c>
      <c r="G306" s="94">
        <v>4</v>
      </c>
      <c r="H306" s="32">
        <f t="shared" si="40"/>
        <v>2.8</v>
      </c>
      <c r="I306" s="84">
        <v>8</v>
      </c>
      <c r="J306" s="95">
        <v>2</v>
      </c>
      <c r="K306" s="84">
        <v>1</v>
      </c>
      <c r="M306" s="96">
        <v>11.7</v>
      </c>
      <c r="N306" s="96">
        <v>10.3</v>
      </c>
      <c r="O306" s="93">
        <f t="shared" si="41"/>
        <v>82.96820082923665</v>
      </c>
      <c r="P306" s="96">
        <f t="shared" si="43"/>
        <v>8.9047751185140331</v>
      </c>
      <c r="Q306" s="97">
        <v>12.2</v>
      </c>
      <c r="R306" s="96">
        <v>12.9</v>
      </c>
      <c r="S306" s="96">
        <v>13.3</v>
      </c>
      <c r="T306" s="96">
        <v>13.5</v>
      </c>
      <c r="U306" s="96">
        <v>11</v>
      </c>
      <c r="V306" s="96">
        <f t="shared" si="42"/>
        <v>12.25</v>
      </c>
      <c r="W306" s="96">
        <v>11</v>
      </c>
      <c r="X306" s="96">
        <v>11</v>
      </c>
      <c r="Y306" s="98" t="s">
        <v>22</v>
      </c>
      <c r="Z306" s="99">
        <v>0</v>
      </c>
    </row>
    <row r="307" spans="1:26">
      <c r="A307" s="78">
        <f t="shared" si="38"/>
        <v>45596</v>
      </c>
      <c r="B307" s="91">
        <v>30.172000000000001</v>
      </c>
      <c r="C307" s="92">
        <f t="shared" si="39"/>
        <v>1021.7409873600001</v>
      </c>
      <c r="D307" s="92">
        <v>72</v>
      </c>
      <c r="E307" s="92">
        <f>(C307-0.163*((D307-32)*5/9) + (0.5685 *((C307-0.163*((D307-32)*5/9)))/1000)) *EXP([8]Calc!$C$14/((M307+273.15)+((0.0065*64.6)/2)+(0.12*0.85*((6.112*EXP((17.67*M307)/(M307+243.5)))))))</f>
        <v>1026.6883895812812</v>
      </c>
      <c r="F307" s="93">
        <v>8</v>
      </c>
      <c r="G307" s="94">
        <v>0</v>
      </c>
      <c r="H307" s="32">
        <f t="shared" si="40"/>
        <v>0</v>
      </c>
      <c r="I307" s="84">
        <v>2</v>
      </c>
      <c r="J307" s="95">
        <v>45</v>
      </c>
      <c r="K307" s="84">
        <v>1</v>
      </c>
      <c r="M307" s="96">
        <v>8</v>
      </c>
      <c r="N307" s="96">
        <v>7.9</v>
      </c>
      <c r="O307" s="93">
        <f t="shared" si="41"/>
        <v>98.575692151167218</v>
      </c>
      <c r="P307" s="96">
        <f t="shared" si="43"/>
        <v>7.7892868332034011</v>
      </c>
      <c r="Q307" s="97">
        <v>10.1</v>
      </c>
      <c r="R307" s="96">
        <v>12.5</v>
      </c>
      <c r="S307" s="96">
        <v>13.4</v>
      </c>
      <c r="T307" s="96">
        <v>12.7</v>
      </c>
      <c r="U307" s="96">
        <v>6.4</v>
      </c>
      <c r="V307" s="96">
        <f t="shared" si="42"/>
        <v>9.5500000000000007</v>
      </c>
      <c r="W307" s="96">
        <v>2.5</v>
      </c>
      <c r="X307" s="96">
        <v>5.9</v>
      </c>
      <c r="Y307" s="98" t="s">
        <v>22</v>
      </c>
      <c r="Z307" s="99">
        <v>3.1</v>
      </c>
    </row>
    <row r="308" spans="1:26">
      <c r="A308" s="78">
        <f t="shared" si="38"/>
        <v>45597</v>
      </c>
      <c r="B308" s="91">
        <v>30.08</v>
      </c>
      <c r="C308" s="92">
        <f>B308*33.86388</f>
        <v>1018.6255103999999</v>
      </c>
      <c r="D308" s="92">
        <v>71</v>
      </c>
      <c r="E308" s="92">
        <f>(C308-0.163*((D308-32)*5/9) + (0.5685 *((C308-0.163*((D308-32)*5/9)))/1000)) *EXP([9]Calc!$C$14/((M308+273.15)+((0.0065*64.6)/2)+(0.12*0.85*((6.112*EXP((17.67*M308)/(M308+243.5)))))))</f>
        <v>1023.577362842862</v>
      </c>
      <c r="F308" s="93">
        <v>8</v>
      </c>
      <c r="G308" s="94">
        <v>0</v>
      </c>
      <c r="H308" s="32">
        <f>G308*0.7</f>
        <v>0</v>
      </c>
      <c r="I308" s="84">
        <v>7</v>
      </c>
      <c r="J308" s="95">
        <v>2</v>
      </c>
      <c r="K308" s="84">
        <v>1</v>
      </c>
      <c r="L308" s="84">
        <v>0</v>
      </c>
      <c r="M308" s="96">
        <v>10</v>
      </c>
      <c r="N308" s="96">
        <v>9.4</v>
      </c>
      <c r="O308" s="93">
        <f>IF(M308&gt;0,100*(((6.112*EXP((17.67*N308)/(N308+243.5)))-0.8*(M308-N308))/(6.112*EXP((17.67*M308)/(M308+243.5)))),100*(((6.109*EXP((22.5*N308)/(N308+273)))-0.8*(M308-N308))/(6.109*EXP((22.5*M308)/(M308+273)))))</f>
        <v>92.141759197840358</v>
      </c>
      <c r="P308" s="96">
        <f t="shared" si="43"/>
        <v>8.7835137530714764</v>
      </c>
      <c r="Q308" s="97">
        <v>10.7</v>
      </c>
      <c r="R308" s="96">
        <v>12.2</v>
      </c>
      <c r="S308" s="96">
        <v>13.4</v>
      </c>
      <c r="T308" s="96">
        <v>12.1</v>
      </c>
      <c r="U308" s="96">
        <v>7.4</v>
      </c>
      <c r="V308" s="96">
        <f>AVERAGE(T308:U308)</f>
        <v>9.75</v>
      </c>
      <c r="W308" s="96">
        <v>6.6</v>
      </c>
      <c r="X308" s="96">
        <v>5.9</v>
      </c>
      <c r="Y308" s="98" t="s">
        <v>22</v>
      </c>
      <c r="Z308" s="99">
        <v>0</v>
      </c>
    </row>
    <row r="309" spans="1:26">
      <c r="A309" s="78">
        <f t="shared" si="38"/>
        <v>45598</v>
      </c>
      <c r="B309" s="91">
        <v>30.32</v>
      </c>
      <c r="C309" s="92">
        <f t="shared" ref="C309:C337" si="44">B309*33.86388</f>
        <v>1026.7528416</v>
      </c>
      <c r="D309" s="92">
        <v>73</v>
      </c>
      <c r="E309" s="92">
        <f>(C309-0.163*((D309-32)*5/9) + (0.5685 *((C309-0.163*((D309-32)*5/9)))/1000)) *EXP([9]Calc!$C$14/((M309+273.15)+((0.0065*64.6)/2)+(0.12*0.85*((6.112*EXP((17.67*M309)/(M309+243.5)))))))</f>
        <v>1031.550469499218</v>
      </c>
      <c r="F309" s="93">
        <v>8</v>
      </c>
      <c r="G309" s="94">
        <v>8</v>
      </c>
      <c r="H309" s="32">
        <f t="shared" ref="H309:H337" si="45">G309*0.7</f>
        <v>5.6</v>
      </c>
      <c r="I309" s="84">
        <v>8</v>
      </c>
      <c r="J309" s="95">
        <v>2</v>
      </c>
      <c r="K309" s="84">
        <v>1</v>
      </c>
      <c r="L309" s="84">
        <v>0</v>
      </c>
      <c r="M309" s="96">
        <v>11.3</v>
      </c>
      <c r="N309" s="96">
        <v>10.6</v>
      </c>
      <c r="O309" s="93">
        <f t="shared" ref="O309:O337" si="46">IF(M309&gt;0,100*(((6.112*EXP((17.67*N309)/(N309+243.5)))-0.8*(M309-N309))/(6.112*EXP((17.67*M309)/(M309+243.5)))),100*(((6.109*EXP((22.5*N309)/(N309+273)))-0.8*(M309-N309))/(6.109*EXP((22.5*M309)/(M309+273)))))</f>
        <v>91.269849224204663</v>
      </c>
      <c r="P309" s="96">
        <f>IF(M309&gt;0, (243.5*LN(((6.112*EXP((17.67*N309)/(N309+243.5)))-0.8*(M309-N309))/6.112))/(17.67-LN(((6.112*EXP((17.67*N309)/(N309+243.5)))-0.8*(M309-N309))/6.112)),(273*LN(((6.109*EXP((22.5*N309)/(N309+273)))-0.8*(M309-N309))/6.109))/(22.5-LN(((6.109*EXP((22.5*N309)/(N309+273)))-0.8*(M309-N309))/6.109)))</f>
        <v>9.9290318740680235</v>
      </c>
      <c r="Q309" s="97">
        <v>11.5</v>
      </c>
      <c r="R309" s="96">
        <v>12.2</v>
      </c>
      <c r="S309" s="96">
        <v>13.5</v>
      </c>
      <c r="T309" s="96">
        <v>13.9</v>
      </c>
      <c r="U309" s="96">
        <v>9.6</v>
      </c>
      <c r="V309" s="96">
        <f t="shared" ref="V309:V337" si="47">AVERAGE(T309:U309)</f>
        <v>11.75</v>
      </c>
      <c r="W309" s="96">
        <v>10.5</v>
      </c>
      <c r="X309" s="96">
        <v>10.3</v>
      </c>
      <c r="Y309" s="98">
        <v>0</v>
      </c>
      <c r="Z309" s="99">
        <v>0</v>
      </c>
    </row>
    <row r="310" spans="1:26">
      <c r="A310" s="78">
        <f t="shared" si="38"/>
        <v>45599</v>
      </c>
      <c r="B310" s="91">
        <v>30.25</v>
      </c>
      <c r="C310" s="92">
        <f t="shared" si="44"/>
        <v>1024.38237</v>
      </c>
      <c r="D310" s="92">
        <v>72</v>
      </c>
      <c r="E310" s="92">
        <f>(C310-0.163*((D310-32)*5/9) + (0.5685 *((C310-0.163*((D310-32)*5/9)))/1000)) *EXP([9]Calc!$C$14/((M310+273.15)+((0.0065*64.6)/2)+(0.12*0.85*((6.112*EXP((17.67*M310)/(M310+243.5)))))))</f>
        <v>1029.2515874229102</v>
      </c>
      <c r="F310" s="93">
        <v>8</v>
      </c>
      <c r="G310" s="94">
        <v>4</v>
      </c>
      <c r="H310" s="32">
        <f t="shared" si="45"/>
        <v>2.8</v>
      </c>
      <c r="I310" s="84">
        <v>7</v>
      </c>
      <c r="J310" s="95">
        <v>2</v>
      </c>
      <c r="K310" s="84">
        <v>1</v>
      </c>
      <c r="L310" s="84">
        <v>0</v>
      </c>
      <c r="M310" s="96">
        <v>11.3</v>
      </c>
      <c r="N310" s="96">
        <v>9.6999999999999993</v>
      </c>
      <c r="O310" s="93">
        <f t="shared" si="46"/>
        <v>80.313647153606368</v>
      </c>
      <c r="P310" s="96">
        <f t="shared" ref="P310:P337" si="48">IF(M310&gt;0, (243.5*LN(((6.112*EXP((17.67*N310)/(N310+243.5)))-0.8*(M310-N310))/6.112))/(17.67-LN(((6.112*EXP((17.67*N310)/(N310+243.5)))-0.8*(M310-N310))/6.112)),(273*LN(((6.109*EXP((22.5*N310)/(N310+273)))-0.8*(M310-N310))/6.109))/(22.5-LN(((6.109*EXP((22.5*N310)/(N310+273)))-0.8*(M310-N310))/6.109)))</f>
        <v>8.0344034460476994</v>
      </c>
      <c r="Q310" s="97">
        <v>11.3</v>
      </c>
      <c r="R310" s="96">
        <v>12.3</v>
      </c>
      <c r="S310" s="96">
        <v>13.4</v>
      </c>
      <c r="T310" s="96">
        <v>12.1</v>
      </c>
      <c r="U310" s="96">
        <v>11.3</v>
      </c>
      <c r="V310" s="96">
        <f t="shared" si="47"/>
        <v>11.7</v>
      </c>
      <c r="W310" s="96">
        <v>10.199999999999999</v>
      </c>
      <c r="X310" s="96">
        <v>10.199999999999999</v>
      </c>
      <c r="Y310" s="98">
        <v>0</v>
      </c>
      <c r="Z310" s="99">
        <v>0</v>
      </c>
    </row>
    <row r="311" spans="1:26">
      <c r="A311" s="78">
        <f t="shared" si="38"/>
        <v>45600</v>
      </c>
      <c r="B311" s="91">
        <v>30.18</v>
      </c>
      <c r="C311" s="92">
        <f t="shared" si="44"/>
        <v>1022.0118984000001</v>
      </c>
      <c r="D311" s="92">
        <v>71.8</v>
      </c>
      <c r="E311" s="92">
        <f>(C311-0.163*((D311-32)*5/9) + (0.5685 *((C311-0.163*((D311-32)*5/9)))/1000)) *EXP([9]Calc!$C$14/((M311+273.15)+((0.0065*64.6)/2)+(0.12*0.85*((6.112*EXP((17.67*M311)/(M311+243.5)))))))</f>
        <v>1026.9099093988841</v>
      </c>
      <c r="F311" s="93">
        <v>8</v>
      </c>
      <c r="G311" s="94">
        <v>0</v>
      </c>
      <c r="H311" s="32">
        <f t="shared" si="45"/>
        <v>0</v>
      </c>
      <c r="I311" s="84">
        <v>7</v>
      </c>
      <c r="J311" s="95">
        <v>2</v>
      </c>
      <c r="K311" s="84">
        <v>2</v>
      </c>
      <c r="L311" s="84">
        <v>0</v>
      </c>
      <c r="M311" s="96">
        <v>10.3</v>
      </c>
      <c r="N311" s="96">
        <v>8.8000000000000007</v>
      </c>
      <c r="O311" s="93">
        <f t="shared" si="46"/>
        <v>80.827907967112679</v>
      </c>
      <c r="P311" s="96">
        <f t="shared" si="48"/>
        <v>7.1529885159638944</v>
      </c>
      <c r="Q311" s="97">
        <v>11</v>
      </c>
      <c r="R311" s="96">
        <v>12.4</v>
      </c>
      <c r="S311" s="96">
        <v>13.2</v>
      </c>
      <c r="T311" s="96">
        <v>10.9</v>
      </c>
      <c r="U311" s="96">
        <v>10.199999999999999</v>
      </c>
      <c r="V311" s="96">
        <f t="shared" si="47"/>
        <v>10.55</v>
      </c>
      <c r="W311" s="96">
        <v>9.4</v>
      </c>
      <c r="X311" s="96">
        <v>10.1</v>
      </c>
      <c r="Y311" s="98">
        <v>0</v>
      </c>
      <c r="Z311" s="99">
        <v>0</v>
      </c>
    </row>
    <row r="312" spans="1:26">
      <c r="A312" s="78">
        <f t="shared" si="38"/>
        <v>45601</v>
      </c>
      <c r="B312" s="91">
        <v>30.007999999999999</v>
      </c>
      <c r="C312" s="92">
        <f t="shared" si="44"/>
        <v>1016.1873110400001</v>
      </c>
      <c r="D312" s="92">
        <v>71.400000000000006</v>
      </c>
      <c r="E312" s="92">
        <f>(C312-0.163*((D312-32)*5/9) + (0.5685 *((C312-0.163*((D312-32)*5/9)))/1000)) *EXP([9]Calc!$C$14/((M312+273.15)+((0.0065*64.6)/2)+(0.12*0.85*((6.112*EXP((17.67*M312)/(M312+243.5)))))))</f>
        <v>1021.1124601790383</v>
      </c>
      <c r="F312" s="93">
        <v>8</v>
      </c>
      <c r="G312" s="94">
        <v>0</v>
      </c>
      <c r="H312" s="32">
        <f t="shared" si="45"/>
        <v>0</v>
      </c>
      <c r="I312" s="84">
        <v>6</v>
      </c>
      <c r="J312" s="95">
        <v>2</v>
      </c>
      <c r="K312" s="84">
        <v>1</v>
      </c>
      <c r="L312" s="84">
        <v>0</v>
      </c>
      <c r="M312" s="96">
        <v>9</v>
      </c>
      <c r="N312" s="96">
        <v>8.6999999999999993</v>
      </c>
      <c r="O312" s="93">
        <f t="shared" si="46"/>
        <v>95.901719482046502</v>
      </c>
      <c r="P312" s="96">
        <f t="shared" si="48"/>
        <v>8.3814442621589276</v>
      </c>
      <c r="Q312" s="97">
        <v>10.6</v>
      </c>
      <c r="R312" s="96">
        <v>12.2</v>
      </c>
      <c r="S312" s="96">
        <v>13.2</v>
      </c>
      <c r="T312" s="96">
        <v>11.3</v>
      </c>
      <c r="U312" s="96">
        <v>8.5</v>
      </c>
      <c r="V312" s="96">
        <f t="shared" si="47"/>
        <v>9.9</v>
      </c>
      <c r="W312" s="96">
        <v>3.4</v>
      </c>
      <c r="X312" s="96">
        <v>6.1</v>
      </c>
      <c r="Y312" s="98">
        <v>0.1</v>
      </c>
      <c r="Z312" s="99">
        <v>0</v>
      </c>
    </row>
    <row r="313" spans="1:26">
      <c r="A313" s="78">
        <f t="shared" si="38"/>
        <v>45602</v>
      </c>
      <c r="B313" s="91">
        <v>30.298999999999999</v>
      </c>
      <c r="C313" s="92">
        <f t="shared" si="44"/>
        <v>1026.0417001200001</v>
      </c>
      <c r="D313" s="92">
        <v>71.599999999999994</v>
      </c>
      <c r="E313" s="92">
        <f>(C313-0.163*((D313-32)*5/9) + (0.5685 *((C313-0.163*((D313-32)*5/9)))/1000)) *EXP([9]Calc!$C$14/((M313+273.15)+((0.0065*64.6)/2)+(0.12*0.85*((6.112*EXP((17.67*M313)/(M313+243.5)))))))</f>
        <v>1030.9916160104535</v>
      </c>
      <c r="F313" s="93">
        <v>8</v>
      </c>
      <c r="G313" s="94">
        <v>0</v>
      </c>
      <c r="H313" s="32">
        <f t="shared" si="45"/>
        <v>0</v>
      </c>
      <c r="I313" s="84">
        <v>5</v>
      </c>
      <c r="J313" s="95">
        <v>51</v>
      </c>
      <c r="K313" s="84">
        <v>1</v>
      </c>
      <c r="L313" s="84">
        <v>0</v>
      </c>
      <c r="M313" s="96">
        <v>10.3</v>
      </c>
      <c r="N313" s="96">
        <v>10.1</v>
      </c>
      <c r="O313" s="93">
        <f t="shared" si="46"/>
        <v>97.394002657523117</v>
      </c>
      <c r="P313" s="96">
        <f t="shared" si="48"/>
        <v>9.9053000777728766</v>
      </c>
      <c r="Q313" s="97">
        <v>10.9</v>
      </c>
      <c r="R313" s="96">
        <v>12.1</v>
      </c>
      <c r="S313" s="96">
        <v>13.2</v>
      </c>
      <c r="T313" s="96">
        <v>11.7</v>
      </c>
      <c r="U313" s="96">
        <v>8.6999999999999993</v>
      </c>
      <c r="V313" s="96">
        <f t="shared" si="47"/>
        <v>10.199999999999999</v>
      </c>
      <c r="W313" s="96">
        <v>8.5</v>
      </c>
      <c r="X313" s="96">
        <v>9.4</v>
      </c>
      <c r="Y313" s="98">
        <v>0.1</v>
      </c>
      <c r="Z313" s="99">
        <v>0</v>
      </c>
    </row>
    <row r="314" spans="1:26">
      <c r="A314" s="78">
        <f t="shared" si="38"/>
        <v>45603</v>
      </c>
      <c r="B314" s="91">
        <v>30.29</v>
      </c>
      <c r="C314" s="92">
        <f t="shared" si="44"/>
        <v>1025.7369252000001</v>
      </c>
      <c r="D314" s="92">
        <v>71</v>
      </c>
      <c r="E314" s="92">
        <f>(C314-0.163*((D314-32)*5/9) + (0.5685 *((C314-0.163*((D314-32)*5/9)))/1000)) *EXP([9]Calc!$C$14/((M314+273.15)+((0.0065*64.6)/2)+(0.12*0.85*((6.112*EXP((17.67*M314)/(M314+243.5)))))))</f>
        <v>1030.7421249570045</v>
      </c>
      <c r="F314" s="93">
        <v>8</v>
      </c>
      <c r="G314" s="94">
        <v>8</v>
      </c>
      <c r="H314" s="32">
        <f t="shared" si="45"/>
        <v>5.6</v>
      </c>
      <c r="I314" s="84">
        <v>6</v>
      </c>
      <c r="J314" s="95">
        <v>2</v>
      </c>
      <c r="K314" s="84">
        <v>1</v>
      </c>
      <c r="L314" s="84">
        <v>0</v>
      </c>
      <c r="M314" s="96">
        <v>10.199999999999999</v>
      </c>
      <c r="N314" s="96">
        <v>9.9</v>
      </c>
      <c r="O314" s="93">
        <f t="shared" si="46"/>
        <v>96.082454207204108</v>
      </c>
      <c r="P314" s="96">
        <f t="shared" si="48"/>
        <v>9.6035879738197742</v>
      </c>
      <c r="Q314" s="97">
        <v>11</v>
      </c>
      <c r="R314" s="96">
        <v>12.1</v>
      </c>
      <c r="S314" s="96">
        <v>13</v>
      </c>
      <c r="T314" s="96">
        <v>12.1</v>
      </c>
      <c r="U314" s="96">
        <v>9.9</v>
      </c>
      <c r="V314" s="96">
        <f t="shared" si="47"/>
        <v>11</v>
      </c>
      <c r="W314" s="96">
        <v>9</v>
      </c>
      <c r="X314" s="96">
        <v>9.5</v>
      </c>
      <c r="Y314" s="98">
        <v>0</v>
      </c>
      <c r="Z314" s="99">
        <v>0</v>
      </c>
    </row>
    <row r="315" spans="1:26">
      <c r="A315" s="78">
        <f t="shared" si="38"/>
        <v>45604</v>
      </c>
      <c r="B315" s="91">
        <v>30.172000000000001</v>
      </c>
      <c r="C315" s="92">
        <f t="shared" si="44"/>
        <v>1021.7409873600001</v>
      </c>
      <c r="D315" s="92">
        <v>70.099999999999994</v>
      </c>
      <c r="E315" s="92">
        <f>(C315-0.163*((D315-32)*5/9) + (0.5685 *((C315-0.163*((D315-32)*5/9)))/1000)) *EXP([9]Calc!$C$14/((M315+273.15)+((0.0065*64.6)/2)+(0.12*0.85*((6.112*EXP((17.67*M315)/(M315+243.5)))))))</f>
        <v>1026.8405553357579</v>
      </c>
      <c r="F315" s="93">
        <v>8</v>
      </c>
      <c r="G315" s="94">
        <v>0</v>
      </c>
      <c r="H315" s="32">
        <f t="shared" si="45"/>
        <v>0</v>
      </c>
      <c r="I315" s="84">
        <v>8</v>
      </c>
      <c r="J315" s="95">
        <v>2</v>
      </c>
      <c r="K315" s="84">
        <v>1</v>
      </c>
      <c r="L315" s="84">
        <v>0</v>
      </c>
      <c r="M315" s="96">
        <v>8.6999999999999993</v>
      </c>
      <c r="N315" s="96">
        <v>7.6</v>
      </c>
      <c r="O315" s="93">
        <f t="shared" si="46"/>
        <v>84.972119014508081</v>
      </c>
      <c r="P315" s="96">
        <f t="shared" si="48"/>
        <v>6.3154381615346811</v>
      </c>
      <c r="Q315" s="97">
        <v>10.4</v>
      </c>
      <c r="R315" s="96">
        <v>12</v>
      </c>
      <c r="S315" s="96">
        <v>13</v>
      </c>
      <c r="T315" s="96">
        <v>9.6</v>
      </c>
      <c r="U315" s="96">
        <v>8.4</v>
      </c>
      <c r="V315" s="96">
        <f t="shared" si="47"/>
        <v>9</v>
      </c>
      <c r="W315" s="96">
        <v>8.4</v>
      </c>
      <c r="X315" s="96">
        <v>8.5</v>
      </c>
      <c r="Y315" s="98" t="s">
        <v>22</v>
      </c>
      <c r="Z315" s="99">
        <v>0</v>
      </c>
    </row>
    <row r="316" spans="1:26">
      <c r="A316" s="78">
        <f t="shared" si="38"/>
        <v>45605</v>
      </c>
      <c r="B316" s="91">
        <v>30.138000000000002</v>
      </c>
      <c r="C316" s="92">
        <f t="shared" si="44"/>
        <v>1020.5896154400001</v>
      </c>
      <c r="D316" s="92">
        <v>68.400000000000006</v>
      </c>
      <c r="E316" s="92">
        <f>(C316-0.163*((D316-32)*5/9) + (0.5685 *((C316-0.163*((D316-32)*5/9)))/1000)) *EXP([9]Calc!$C$14/((M316+273.15)+((0.0065*64.6)/2)+(0.12*0.85*((6.112*EXP((17.67*M316)/(M316+243.5)))))))</f>
        <v>1025.8774394766995</v>
      </c>
      <c r="F316" s="93">
        <v>8</v>
      </c>
      <c r="G316" s="94">
        <v>0</v>
      </c>
      <c r="H316" s="32">
        <f t="shared" si="45"/>
        <v>0</v>
      </c>
      <c r="I316" s="84">
        <v>8</v>
      </c>
      <c r="J316" s="95">
        <v>2</v>
      </c>
      <c r="K316" s="84">
        <v>1</v>
      </c>
      <c r="L316" s="84">
        <v>0</v>
      </c>
      <c r="M316" s="96">
        <v>7.3</v>
      </c>
      <c r="N316" s="96">
        <v>6.1</v>
      </c>
      <c r="O316" s="93">
        <f t="shared" si="46"/>
        <v>82.691828434713528</v>
      </c>
      <c r="P316" s="96">
        <f t="shared" si="48"/>
        <v>4.5520968665027404</v>
      </c>
      <c r="Q316" s="97">
        <v>9.4</v>
      </c>
      <c r="R316" s="96">
        <v>11.5</v>
      </c>
      <c r="S316" s="96">
        <v>12.9</v>
      </c>
      <c r="T316" s="96">
        <v>8.5</v>
      </c>
      <c r="U316" s="96">
        <v>6.9</v>
      </c>
      <c r="V316" s="96">
        <f t="shared" si="47"/>
        <v>7.7</v>
      </c>
      <c r="W316" s="96">
        <v>4.8</v>
      </c>
      <c r="X316" s="96">
        <v>7.6</v>
      </c>
      <c r="Y316" s="98">
        <v>0</v>
      </c>
      <c r="Z316" s="99">
        <v>0</v>
      </c>
    </row>
    <row r="317" spans="1:26">
      <c r="A317" s="78">
        <f t="shared" si="38"/>
        <v>45606</v>
      </c>
      <c r="B317" s="91">
        <v>30.224</v>
      </c>
      <c r="C317" s="92">
        <f t="shared" si="44"/>
        <v>1023.5019091200001</v>
      </c>
      <c r="D317" s="92">
        <v>68.8</v>
      </c>
      <c r="E317" s="92">
        <f>(C317-0.163*((D317-32)*5/9) + (0.5685 *((C317-0.163*((D317-32)*5/9)))/1000)) *EXP([9]Calc!$C$14/((M317+273.15)+((0.0065*64.6)/2)+(0.12*0.85*((6.112*EXP((17.67*M317)/(M317+243.5)))))))</f>
        <v>1028.7410753498859</v>
      </c>
      <c r="F317" s="93">
        <v>8</v>
      </c>
      <c r="G317" s="94">
        <v>0</v>
      </c>
      <c r="H317" s="32">
        <f t="shared" si="45"/>
        <v>0</v>
      </c>
      <c r="I317" s="84">
        <v>6</v>
      </c>
      <c r="J317" s="95">
        <v>50</v>
      </c>
      <c r="K317" s="84">
        <v>1</v>
      </c>
      <c r="L317" s="84">
        <v>0</v>
      </c>
      <c r="M317" s="96">
        <v>8.5</v>
      </c>
      <c r="N317" s="96">
        <v>7.9</v>
      </c>
      <c r="O317" s="93">
        <f t="shared" si="46"/>
        <v>91.679709539879312</v>
      </c>
      <c r="P317" s="96">
        <f t="shared" si="48"/>
        <v>7.2243636342135611</v>
      </c>
      <c r="Q317" s="97">
        <v>9</v>
      </c>
      <c r="R317" s="96">
        <v>11.1</v>
      </c>
      <c r="S317" s="96">
        <v>12.8</v>
      </c>
      <c r="T317" s="96">
        <v>12.5</v>
      </c>
      <c r="U317" s="96">
        <v>6.6</v>
      </c>
      <c r="V317" s="96">
        <f t="shared" si="47"/>
        <v>9.5500000000000007</v>
      </c>
      <c r="W317" s="96">
        <v>6.8</v>
      </c>
      <c r="X317" s="96">
        <v>6.9</v>
      </c>
      <c r="Y317" s="98">
        <v>0</v>
      </c>
      <c r="Z317" s="99">
        <v>0</v>
      </c>
    </row>
    <row r="318" spans="1:26">
      <c r="A318" s="78">
        <f t="shared" si="38"/>
        <v>45607</v>
      </c>
      <c r="B318" s="91">
        <v>30.434000000000001</v>
      </c>
      <c r="C318" s="92">
        <f t="shared" si="44"/>
        <v>1030.6133239200001</v>
      </c>
      <c r="D318" s="92">
        <v>68.2</v>
      </c>
      <c r="E318" s="92">
        <f>(C318-0.163*((D318-32)*5/9) + (0.5685 *((C318-0.163*((D318-32)*5/9)))/1000)) *EXP([9]Calc!$C$14/((M318+273.15)+((0.0065*64.6)/2)+(0.12*0.85*((6.112*EXP((17.67*M318)/(M318+243.5)))))))</f>
        <v>1035.9762571850806</v>
      </c>
      <c r="F318" s="93">
        <v>3</v>
      </c>
      <c r="G318" s="94">
        <v>0</v>
      </c>
      <c r="H318" s="32">
        <f t="shared" si="45"/>
        <v>0</v>
      </c>
      <c r="I318" s="84">
        <v>8</v>
      </c>
      <c r="J318" s="95">
        <v>2</v>
      </c>
      <c r="K318" s="84">
        <v>1</v>
      </c>
      <c r="L318" s="84">
        <v>0</v>
      </c>
      <c r="M318" s="96">
        <v>8.1999999999999993</v>
      </c>
      <c r="N318" s="96">
        <v>7.8</v>
      </c>
      <c r="O318" s="93">
        <f t="shared" si="46"/>
        <v>94.371588413843085</v>
      </c>
      <c r="P318" s="96">
        <f t="shared" si="48"/>
        <v>7.3499075942644669</v>
      </c>
      <c r="Q318" s="97">
        <v>9.6</v>
      </c>
      <c r="R318" s="96">
        <v>11.4</v>
      </c>
      <c r="S318" s="96">
        <v>12.6</v>
      </c>
      <c r="T318" s="96">
        <v>11.8</v>
      </c>
      <c r="U318" s="96">
        <v>7.2</v>
      </c>
      <c r="V318" s="96">
        <f t="shared" si="47"/>
        <v>9.5</v>
      </c>
      <c r="W318" s="96">
        <v>4</v>
      </c>
      <c r="X318" s="96">
        <v>5.0999999999999996</v>
      </c>
      <c r="Y318" s="98">
        <v>0</v>
      </c>
      <c r="Z318" s="99">
        <v>6.5</v>
      </c>
    </row>
    <row r="319" spans="1:26">
      <c r="A319" s="78">
        <f t="shared" si="38"/>
        <v>45608</v>
      </c>
      <c r="B319" s="91">
        <v>30.486000000000001</v>
      </c>
      <c r="C319" s="92">
        <f t="shared" si="44"/>
        <v>1032.3742456800001</v>
      </c>
      <c r="D319" s="92">
        <v>70</v>
      </c>
      <c r="E319" s="92">
        <f>(C319-0.163*((D319-32)*5/9) + (0.5685 *((C319-0.163*((D319-32)*5/9)))/1000)) *EXP([9]Calc!$C$14/((M319+273.15)+((0.0065*64.6)/2)+(0.12*0.85*((6.112*EXP((17.67*M319)/(M319+243.5)))))))</f>
        <v>1037.6153983910681</v>
      </c>
      <c r="F319" s="93">
        <v>2</v>
      </c>
      <c r="G319" s="94">
        <v>0</v>
      </c>
      <c r="H319" s="32">
        <f t="shared" si="45"/>
        <v>0</v>
      </c>
      <c r="I319" s="84">
        <v>8</v>
      </c>
      <c r="J319" s="95">
        <v>2</v>
      </c>
      <c r="K319" s="84">
        <v>1</v>
      </c>
      <c r="L319" s="84">
        <v>0</v>
      </c>
      <c r="M319" s="96">
        <v>7.3</v>
      </c>
      <c r="N319" s="96">
        <v>6.3</v>
      </c>
      <c r="O319" s="93">
        <f t="shared" si="46"/>
        <v>85.536734313916853</v>
      </c>
      <c r="P319" s="96">
        <f t="shared" si="48"/>
        <v>5.0367573198851261</v>
      </c>
      <c r="Q319" s="97">
        <v>6.6</v>
      </c>
      <c r="R319" s="96">
        <v>11.7</v>
      </c>
      <c r="S319" s="96">
        <v>12.4</v>
      </c>
      <c r="T319" s="96">
        <v>11.3</v>
      </c>
      <c r="U319" s="96">
        <v>2.9</v>
      </c>
      <c r="V319" s="96">
        <f t="shared" si="47"/>
        <v>7.1000000000000005</v>
      </c>
      <c r="W319" s="96">
        <v>-2.2000000000000002</v>
      </c>
      <c r="X319" s="96">
        <v>1.1000000000000001</v>
      </c>
      <c r="Y319" s="98" t="s">
        <v>22</v>
      </c>
      <c r="Z319" s="99">
        <v>2.9</v>
      </c>
    </row>
    <row r="320" spans="1:26">
      <c r="A320" s="78">
        <f t="shared" si="38"/>
        <v>45609</v>
      </c>
      <c r="B320" s="91">
        <v>30.512</v>
      </c>
      <c r="C320" s="92">
        <f t="shared" si="44"/>
        <v>1033.2547065600002</v>
      </c>
      <c r="D320" s="92">
        <v>71.3</v>
      </c>
      <c r="E320" s="92">
        <f>(C320-0.163*((D320-32)*5/9) + (0.5685 *((C320-0.163*((D320-32)*5/9)))/1000)) *EXP([9]Calc!$C$14/((M320+273.15)+((0.0065*64.6)/2)+(0.12*0.85*((6.112*EXP((17.67*M320)/(M320+243.5)))))))</f>
        <v>1038.4311094386205</v>
      </c>
      <c r="F320" s="93">
        <v>4</v>
      </c>
      <c r="G320" s="94">
        <v>0</v>
      </c>
      <c r="H320" s="32">
        <f t="shared" si="45"/>
        <v>0</v>
      </c>
      <c r="I320" s="84">
        <v>6</v>
      </c>
      <c r="J320" s="95">
        <v>2</v>
      </c>
      <c r="K320" s="84">
        <v>1</v>
      </c>
      <c r="L320" s="84">
        <v>0</v>
      </c>
      <c r="M320" s="96">
        <v>5.8</v>
      </c>
      <c r="N320" s="96">
        <v>5.4</v>
      </c>
      <c r="O320" s="93">
        <f t="shared" si="46"/>
        <v>93.793677356976687</v>
      </c>
      <c r="P320" s="96">
        <f t="shared" si="48"/>
        <v>4.8779106316344611</v>
      </c>
      <c r="Q320" s="97">
        <v>7.7</v>
      </c>
      <c r="R320" s="96">
        <v>10.199999999999999</v>
      </c>
      <c r="S320" s="96">
        <v>12.6</v>
      </c>
      <c r="T320" s="96">
        <v>11.4</v>
      </c>
      <c r="U320" s="96">
        <v>5.4</v>
      </c>
      <c r="V320" s="96">
        <f>AVERAGE(T320:U320)</f>
        <v>8.4</v>
      </c>
      <c r="W320" s="96">
        <v>0.6</v>
      </c>
      <c r="X320" s="96">
        <v>3.3</v>
      </c>
      <c r="Y320" s="98">
        <v>0.3</v>
      </c>
      <c r="Z320" s="99">
        <v>7.1</v>
      </c>
    </row>
    <row r="321" spans="1:26">
      <c r="A321" s="78">
        <f t="shared" si="38"/>
        <v>45610</v>
      </c>
      <c r="B321" s="91">
        <v>30.33</v>
      </c>
      <c r="C321" s="92">
        <f t="shared" si="44"/>
        <v>1027.0914803999999</v>
      </c>
      <c r="D321" s="92">
        <v>70</v>
      </c>
      <c r="E321" s="92">
        <f>(C321-0.163*((D321-32)*5/9) + (0.5685 *((C321-0.163*((D321-32)*5/9)))/1000)) *EXP([9]Calc!$C$14/((M321+273.15)+((0.0065*64.6)/2)+(0.12*0.85*((6.112*EXP((17.67*M321)/(M321+243.5)))))))</f>
        <v>1032.1780040858962</v>
      </c>
      <c r="F321" s="93">
        <v>8</v>
      </c>
      <c r="G321" s="94">
        <v>5</v>
      </c>
      <c r="H321" s="32">
        <f t="shared" si="45"/>
        <v>3.5</v>
      </c>
      <c r="I321" s="84">
        <v>7</v>
      </c>
      <c r="J321" s="95">
        <v>2</v>
      </c>
      <c r="K321" s="84">
        <v>1</v>
      </c>
      <c r="L321" s="84">
        <v>0</v>
      </c>
      <c r="M321" s="96">
        <v>10.9</v>
      </c>
      <c r="N321" s="96">
        <v>10.5</v>
      </c>
      <c r="O321" s="93">
        <f t="shared" si="46"/>
        <v>94.91604860555735</v>
      </c>
      <c r="P321" s="96">
        <f t="shared" si="48"/>
        <v>10.117574066047959</v>
      </c>
      <c r="Q321" s="97">
        <v>9.4</v>
      </c>
      <c r="R321" s="96">
        <v>10.1</v>
      </c>
      <c r="S321" s="96">
        <v>12.5</v>
      </c>
      <c r="T321" s="84">
        <v>12.6</v>
      </c>
      <c r="U321" s="96">
        <v>5.7</v>
      </c>
      <c r="V321" s="96">
        <f t="shared" si="47"/>
        <v>9.15</v>
      </c>
      <c r="W321" s="96">
        <v>2.1</v>
      </c>
      <c r="X321" s="96">
        <v>3.7</v>
      </c>
      <c r="Y321" s="98">
        <v>0.1</v>
      </c>
      <c r="Z321" s="99">
        <v>2.8</v>
      </c>
    </row>
    <row r="322" spans="1:26">
      <c r="A322" s="78">
        <f t="shared" si="38"/>
        <v>45611</v>
      </c>
      <c r="B322" s="91">
        <v>30.2</v>
      </c>
      <c r="C322" s="92">
        <f t="shared" si="44"/>
        <v>1022.689176</v>
      </c>
      <c r="D322" s="92">
        <v>72</v>
      </c>
      <c r="E322" s="92">
        <f>(C322-0.163*((D322-32)*5/9) + (0.5685 *((C322-0.163*((D322-32)*5/9)))/1000)) *EXP([9]Calc!$C$14/((M322+273.15)+((0.0065*64.6)/2)+(0.12*0.85*((6.112*EXP((17.67*M322)/(M322+243.5)))))))</f>
        <v>1027.6904964199248</v>
      </c>
      <c r="F322" s="93">
        <v>8</v>
      </c>
      <c r="G322" s="94">
        <v>0</v>
      </c>
      <c r="H322" s="32">
        <f t="shared" si="45"/>
        <v>0</v>
      </c>
      <c r="I322" s="84">
        <v>7</v>
      </c>
      <c r="J322" s="95">
        <v>2</v>
      </c>
      <c r="K322" s="84">
        <v>1</v>
      </c>
      <c r="L322" s="84">
        <v>0</v>
      </c>
      <c r="M322" s="96">
        <v>6.5</v>
      </c>
      <c r="N322" s="96">
        <v>5.7</v>
      </c>
      <c r="O322" s="93">
        <f t="shared" si="46"/>
        <v>88.010658312017938</v>
      </c>
      <c r="P322" s="96">
        <f t="shared" si="48"/>
        <v>4.6585230578857075</v>
      </c>
      <c r="Q322" s="97">
        <v>8.4</v>
      </c>
      <c r="R322" s="96">
        <v>10.4</v>
      </c>
      <c r="S322" s="96">
        <v>12.3</v>
      </c>
      <c r="T322" s="96">
        <v>8.4</v>
      </c>
      <c r="U322" s="96">
        <v>4.5</v>
      </c>
      <c r="V322" s="96">
        <f t="shared" si="47"/>
        <v>6.45</v>
      </c>
      <c r="W322" s="96">
        <v>1.3</v>
      </c>
      <c r="X322" s="96">
        <v>3.6</v>
      </c>
      <c r="Y322" s="98">
        <v>0</v>
      </c>
      <c r="Z322" s="99">
        <v>0.1</v>
      </c>
    </row>
    <row r="323" spans="1:26">
      <c r="A323" s="78">
        <f t="shared" si="38"/>
        <v>45612</v>
      </c>
      <c r="B323" s="91">
        <v>30.004000000000001</v>
      </c>
      <c r="C323" s="92">
        <f t="shared" si="44"/>
        <v>1016.0518555200001</v>
      </c>
      <c r="D323" s="92">
        <v>72.599999999999994</v>
      </c>
      <c r="E323" s="92">
        <f>(C323-0.163*((D323-32)*5/9) + (0.5685 *((C323-0.163*((D323-32)*5/9)))/1000)) *EXP([9]Calc!$C$14/((M323+273.15)+((0.0065*64.6)/2)+(0.12*0.85*((6.112*EXP((17.67*M323)/(M323+243.5)))))))</f>
        <v>1020.8965809914181</v>
      </c>
      <c r="F323" s="93">
        <v>8</v>
      </c>
      <c r="G323" s="94">
        <v>6</v>
      </c>
      <c r="H323" s="32">
        <f t="shared" si="45"/>
        <v>4.1999999999999993</v>
      </c>
      <c r="I323" s="84">
        <v>7</v>
      </c>
      <c r="J323" s="95">
        <v>2</v>
      </c>
      <c r="K323" s="84">
        <v>1</v>
      </c>
      <c r="L323" s="84">
        <v>0</v>
      </c>
      <c r="M323" s="96">
        <v>8</v>
      </c>
      <c r="N323" s="96">
        <v>7.4</v>
      </c>
      <c r="O323" s="93">
        <f t="shared" si="46"/>
        <v>91.514713793097584</v>
      </c>
      <c r="P323" s="96">
        <f t="shared" si="48"/>
        <v>6.7031967363321892</v>
      </c>
      <c r="Q323" s="97">
        <v>8</v>
      </c>
      <c r="R323" s="96">
        <v>10.1</v>
      </c>
      <c r="S323" s="96">
        <v>12.3</v>
      </c>
      <c r="T323" s="96">
        <v>11.8</v>
      </c>
      <c r="U323" s="96">
        <v>4</v>
      </c>
      <c r="V323" s="96">
        <f t="shared" si="47"/>
        <v>7.9</v>
      </c>
      <c r="W323" s="96">
        <v>-1.1000000000000001</v>
      </c>
      <c r="X323" s="96">
        <v>2.4</v>
      </c>
      <c r="Y323" s="98">
        <v>0.5</v>
      </c>
      <c r="Z323" s="99">
        <v>0.5</v>
      </c>
    </row>
    <row r="324" spans="1:26">
      <c r="A324" s="78">
        <f t="shared" ref="A324:A368" si="49">A323+1</f>
        <v>45613</v>
      </c>
      <c r="B324" s="91">
        <v>29.89</v>
      </c>
      <c r="C324" s="92">
        <f t="shared" si="44"/>
        <v>1012.1913732</v>
      </c>
      <c r="D324" s="92">
        <v>72.3</v>
      </c>
      <c r="E324" s="92">
        <f>(C324-0.163*((D324-32)*5/9) + (0.5685 *((C324-0.163*((D324-32)*5/9)))/1000)) *EXP([9]Calc!$C$14/((M324+273.15)+((0.0065*64.6)/2)+(0.12*0.85*((6.112*EXP((17.67*M324)/(M324+243.5)))))))</f>
        <v>1017.0643149073394</v>
      </c>
      <c r="F324" s="93">
        <v>3</v>
      </c>
      <c r="G324" s="94">
        <v>3</v>
      </c>
      <c r="H324" s="32">
        <f t="shared" si="45"/>
        <v>2.0999999999999996</v>
      </c>
      <c r="I324" s="84">
        <v>8</v>
      </c>
      <c r="J324" s="95">
        <v>1</v>
      </c>
      <c r="K324" s="84">
        <v>1</v>
      </c>
      <c r="L324" s="84">
        <v>0</v>
      </c>
      <c r="M324" s="96">
        <v>6.9</v>
      </c>
      <c r="N324" s="96">
        <v>6</v>
      </c>
      <c r="O324" s="93">
        <f t="shared" si="46"/>
        <v>86.75076280880387</v>
      </c>
      <c r="P324" s="96">
        <f t="shared" si="48"/>
        <v>4.8457923229612687</v>
      </c>
      <c r="Q324" s="97">
        <v>7.9</v>
      </c>
      <c r="R324" s="96">
        <v>10.199999999999999</v>
      </c>
      <c r="S324" s="96">
        <v>12.1</v>
      </c>
      <c r="T324" s="96">
        <v>11.9</v>
      </c>
      <c r="U324" s="96">
        <v>6.2</v>
      </c>
      <c r="V324" s="96">
        <f t="shared" si="47"/>
        <v>9.0500000000000007</v>
      </c>
      <c r="W324" s="96">
        <v>3.2</v>
      </c>
      <c r="X324" s="96">
        <v>5.4</v>
      </c>
      <c r="Y324" s="98">
        <v>1.3</v>
      </c>
      <c r="Z324" s="99">
        <v>3.5</v>
      </c>
    </row>
    <row r="325" spans="1:26">
      <c r="A325" s="78">
        <f t="shared" si="49"/>
        <v>45614</v>
      </c>
      <c r="B325" s="91">
        <v>29.78</v>
      </c>
      <c r="C325" s="92">
        <f t="shared" si="44"/>
        <v>1008.4663464000001</v>
      </c>
      <c r="D325" s="92">
        <v>72.599999999999994</v>
      </c>
      <c r="E325" s="92">
        <f>(C325-0.163*((D325-32)*5/9) + (0.5685 *((C325-0.163*((D325-32)*5/9)))/1000)) *EXP([9]Calc!$C$14/((M325+273.15)+((0.0065*64.6)/2)+(0.12*0.85*((6.112*EXP((17.67*M325)/(M325+243.5)))))))</f>
        <v>1013.319815281057</v>
      </c>
      <c r="F325" s="93">
        <v>6</v>
      </c>
      <c r="G325" s="94">
        <v>0</v>
      </c>
      <c r="H325" s="32">
        <f t="shared" si="45"/>
        <v>0</v>
      </c>
      <c r="I325" s="84">
        <v>8</v>
      </c>
      <c r="J325" s="95">
        <v>3</v>
      </c>
      <c r="K325" s="84">
        <v>1</v>
      </c>
      <c r="L325" s="84">
        <v>0</v>
      </c>
      <c r="M325" s="96">
        <v>5.6</v>
      </c>
      <c r="N325" s="96">
        <v>5.5</v>
      </c>
      <c r="O325" s="93">
        <f t="shared" si="46"/>
        <v>98.428906335050073</v>
      </c>
      <c r="P325" s="96">
        <f t="shared" si="48"/>
        <v>5.3718343979956904</v>
      </c>
      <c r="Q325" s="97">
        <v>7.6</v>
      </c>
      <c r="R325" s="96">
        <v>9.9</v>
      </c>
      <c r="S325" s="96">
        <v>12</v>
      </c>
      <c r="T325" s="96">
        <v>11.3</v>
      </c>
      <c r="U325" s="96">
        <v>4.3</v>
      </c>
      <c r="V325" s="96">
        <f t="shared" si="47"/>
        <v>7.8000000000000007</v>
      </c>
      <c r="W325" s="96">
        <v>1.8</v>
      </c>
      <c r="X325" s="96">
        <v>3</v>
      </c>
      <c r="Y325" s="98">
        <v>18.2</v>
      </c>
      <c r="Z325" s="99">
        <v>0</v>
      </c>
    </row>
    <row r="326" spans="1:26">
      <c r="A326" s="78">
        <f t="shared" si="49"/>
        <v>45615</v>
      </c>
      <c r="B326" s="91">
        <v>29.358000000000001</v>
      </c>
      <c r="C326" s="92">
        <f t="shared" si="44"/>
        <v>994.17578904000004</v>
      </c>
      <c r="D326" s="92">
        <v>70.7</v>
      </c>
      <c r="E326" s="92">
        <f>(C326-0.163*((D326-32)*5/9) + (0.5685 *((C326-0.163*((D326-32)*5/9)))/1000)) *EXP([9]Calc!$C$14/((M326+273.15)+((0.0065*64.6)/2)+(0.12*0.85*((6.112*EXP((17.67*M326)/(M326+243.5)))))))</f>
        <v>999.22977367859789</v>
      </c>
      <c r="F326" s="93">
        <v>8</v>
      </c>
      <c r="G326" s="94">
        <v>3</v>
      </c>
      <c r="H326" s="32">
        <f t="shared" si="45"/>
        <v>2.0999999999999996</v>
      </c>
      <c r="I326" s="84">
        <v>6</v>
      </c>
      <c r="J326" s="95">
        <v>72</v>
      </c>
      <c r="K326" s="84">
        <v>7</v>
      </c>
      <c r="L326" s="84">
        <v>2.8</v>
      </c>
      <c r="M326" s="96">
        <v>0.7</v>
      </c>
      <c r="N326" s="96">
        <v>0.6</v>
      </c>
      <c r="O326" s="93">
        <f t="shared" si="46"/>
        <v>98.036535855431325</v>
      </c>
      <c r="P326" s="96">
        <f t="shared" si="48"/>
        <v>0.4254704005063708</v>
      </c>
      <c r="Q326" s="97">
        <v>6.8</v>
      </c>
      <c r="R326" s="96">
        <v>9.6999999999999993</v>
      </c>
      <c r="S326" s="96">
        <v>11.9</v>
      </c>
      <c r="T326" s="96">
        <v>2.1</v>
      </c>
      <c r="U326" s="96">
        <v>0.1</v>
      </c>
      <c r="V326" s="96">
        <f t="shared" si="47"/>
        <v>1.1000000000000001</v>
      </c>
      <c r="W326" s="96">
        <v>0.4</v>
      </c>
      <c r="X326" s="96">
        <v>0</v>
      </c>
      <c r="Y326" s="98">
        <v>1.4</v>
      </c>
      <c r="Z326" s="99">
        <v>0</v>
      </c>
    </row>
    <row r="327" spans="1:26">
      <c r="A327" s="78">
        <f t="shared" si="49"/>
        <v>45616</v>
      </c>
      <c r="B327" s="91">
        <v>29.692</v>
      </c>
      <c r="C327" s="92">
        <f t="shared" si="44"/>
        <v>1005.48632496</v>
      </c>
      <c r="D327" s="92">
        <v>70.599999999999994</v>
      </c>
      <c r="E327" s="92">
        <f>(C327-0.163*((D327-32)*5/9) + (0.5685 *((C327-0.163*((D327-32)*5/9)))/1000)) *EXP([9]Calc!$C$14/((M327+273.15)+((0.0065*64.6)/2)+(0.12*0.85*((6.112*EXP((17.67*M327)/(M327+243.5)))))))</f>
        <v>1010.6224400727925</v>
      </c>
      <c r="F327" s="93">
        <v>6</v>
      </c>
      <c r="G327" s="94">
        <v>10</v>
      </c>
      <c r="H327" s="32">
        <f t="shared" si="45"/>
        <v>7</v>
      </c>
      <c r="I327" s="84">
        <v>8</v>
      </c>
      <c r="J327" s="95">
        <v>26</v>
      </c>
      <c r="K327" s="84">
        <v>4</v>
      </c>
      <c r="L327" s="84">
        <v>0</v>
      </c>
      <c r="M327" s="96">
        <v>1.5</v>
      </c>
      <c r="N327" s="96">
        <v>0.1</v>
      </c>
      <c r="O327" s="93">
        <f t="shared" si="46"/>
        <v>73.953980624215063</v>
      </c>
      <c r="P327" s="96">
        <f t="shared" si="48"/>
        <v>-2.6382134843368319</v>
      </c>
      <c r="Q327" s="97">
        <v>3.2</v>
      </c>
      <c r="R327" s="96">
        <v>8.1</v>
      </c>
      <c r="S327" s="96">
        <v>11.7</v>
      </c>
      <c r="T327" s="96">
        <v>4.9000000000000004</v>
      </c>
      <c r="U327" s="96">
        <v>-1.5</v>
      </c>
      <c r="V327" s="96">
        <f t="shared" si="47"/>
        <v>1.7000000000000002</v>
      </c>
      <c r="W327" s="96">
        <v>-2.9</v>
      </c>
      <c r="X327" s="96">
        <v>-2.1</v>
      </c>
      <c r="Y327" s="98" t="s">
        <v>22</v>
      </c>
      <c r="Z327" s="99">
        <v>6.2</v>
      </c>
    </row>
    <row r="328" spans="1:26">
      <c r="A328" s="78">
        <f t="shared" si="49"/>
        <v>45617</v>
      </c>
      <c r="B328" s="91">
        <v>29.431999999999999</v>
      </c>
      <c r="C328" s="92">
        <f t="shared" si="44"/>
        <v>996.68171615999995</v>
      </c>
      <c r="D328" s="92">
        <v>70.2</v>
      </c>
      <c r="E328" s="92">
        <f>(C328-0.163*((D328-32)*5/9) + (0.5685 *((C328-0.163*((D328-32)*5/9)))/1000)) *EXP([9]Calc!$C$14/((M328+273.15)+((0.0065*64.6)/2)+(0.12*0.85*((6.112*EXP((17.67*M328)/(M328+243.5)))))))</f>
        <v>1001.827611813154</v>
      </c>
      <c r="F328" s="93">
        <v>8</v>
      </c>
      <c r="G328" s="94">
        <v>0</v>
      </c>
      <c r="H328" s="32">
        <f t="shared" si="45"/>
        <v>0</v>
      </c>
      <c r="I328" s="84">
        <v>8</v>
      </c>
      <c r="J328" s="95">
        <v>2</v>
      </c>
      <c r="K328" s="84">
        <v>4</v>
      </c>
      <c r="L328" s="84">
        <v>0</v>
      </c>
      <c r="M328" s="96">
        <v>-0.1</v>
      </c>
      <c r="N328" s="96">
        <v>-0.5</v>
      </c>
      <c r="O328" s="93">
        <f t="shared" si="46"/>
        <v>91.468482838172164</v>
      </c>
      <c r="P328" s="96">
        <f t="shared" si="48"/>
        <v>-1.1769395019168241</v>
      </c>
      <c r="Q328" s="97">
        <v>2.6</v>
      </c>
      <c r="R328" s="96">
        <v>6.9</v>
      </c>
      <c r="S328" s="96">
        <v>11.5</v>
      </c>
      <c r="T328" s="96">
        <v>4</v>
      </c>
      <c r="U328" s="96">
        <v>-1</v>
      </c>
      <c r="V328" s="96">
        <f t="shared" si="47"/>
        <v>1.5</v>
      </c>
      <c r="W328" s="96">
        <v>-5</v>
      </c>
      <c r="X328" s="96">
        <v>-2.5</v>
      </c>
      <c r="Y328" s="98">
        <v>0.3</v>
      </c>
      <c r="Z328" s="99">
        <v>3.2</v>
      </c>
    </row>
    <row r="329" spans="1:26">
      <c r="A329" s="78">
        <f t="shared" si="49"/>
        <v>45618</v>
      </c>
      <c r="B329" s="91">
        <v>29.536000000000001</v>
      </c>
      <c r="C329" s="92">
        <f t="shared" si="44"/>
        <v>1000.2035596800001</v>
      </c>
      <c r="D329" s="92">
        <v>71</v>
      </c>
      <c r="E329" s="92">
        <f>(C329-0.163*((D329-32)*5/9) + (0.5685 *((C329-0.163*((D329-32)*5/9)))/1000)) *EXP([9]Calc!$C$14/((M329+273.15)+((0.0065*64.6)/2)+(0.12*0.85*((6.112*EXP((17.67*M329)/(M329+243.5)))))))</f>
        <v>1005.1813789090113</v>
      </c>
      <c r="F329" s="93">
        <v>2</v>
      </c>
      <c r="G329" s="94">
        <v>14</v>
      </c>
      <c r="H329" s="32">
        <f t="shared" si="45"/>
        <v>9.7999999999999989</v>
      </c>
      <c r="I329" s="84">
        <v>8</v>
      </c>
      <c r="J329" s="95">
        <v>2</v>
      </c>
      <c r="K329" s="84">
        <v>1</v>
      </c>
      <c r="L329" s="84">
        <v>0</v>
      </c>
      <c r="M329" s="96">
        <v>4</v>
      </c>
      <c r="N329" s="96">
        <v>2.7</v>
      </c>
      <c r="O329" s="93">
        <f t="shared" si="46"/>
        <v>78.44059203256613</v>
      </c>
      <c r="P329" s="96">
        <f t="shared" si="48"/>
        <v>0.59050175918773207</v>
      </c>
      <c r="Q329" s="97">
        <v>2.2000000000000002</v>
      </c>
      <c r="R329" s="96">
        <v>6.4</v>
      </c>
      <c r="S329" s="96">
        <v>11.4</v>
      </c>
      <c r="T329" s="96">
        <v>8.9</v>
      </c>
      <c r="U329" s="96">
        <v>-0.5</v>
      </c>
      <c r="V329" s="96">
        <f t="shared" si="47"/>
        <v>4.2</v>
      </c>
      <c r="W329" s="96">
        <v>-2.4</v>
      </c>
      <c r="X329" s="96">
        <v>-1.4</v>
      </c>
      <c r="Y329" s="98">
        <v>7</v>
      </c>
      <c r="Z329" s="99">
        <v>6.7</v>
      </c>
    </row>
    <row r="330" spans="1:26">
      <c r="A330" s="78">
        <f t="shared" si="49"/>
        <v>45619</v>
      </c>
      <c r="B330" s="91">
        <v>29.51</v>
      </c>
      <c r="C330" s="92">
        <f t="shared" si="44"/>
        <v>999.32309880000014</v>
      </c>
      <c r="D330" s="92">
        <v>71.2</v>
      </c>
      <c r="E330" s="92">
        <f>(C330-0.163*((D330-32)*5/9) + (0.5685 *((C330-0.163*((D330-32)*5/9)))/1000)) *EXP([9]Calc!$C$14/((M330+273.15)+((0.0065*64.6)/2)+(0.12*0.85*((6.112*EXP((17.67*M330)/(M330+243.5)))))))</f>
        <v>1004.128042373128</v>
      </c>
      <c r="F330" s="93">
        <v>2</v>
      </c>
      <c r="G330" s="94">
        <v>12</v>
      </c>
      <c r="H330" s="32">
        <f t="shared" si="45"/>
        <v>8.3999999999999986</v>
      </c>
      <c r="I330" s="84">
        <v>8</v>
      </c>
      <c r="J330" s="95">
        <v>2</v>
      </c>
      <c r="K330" s="84">
        <v>1</v>
      </c>
      <c r="L330" s="84">
        <v>0</v>
      </c>
      <c r="M330" s="96">
        <v>8.9</v>
      </c>
      <c r="N330" s="96">
        <v>7.9</v>
      </c>
      <c r="O330" s="93">
        <f t="shared" si="46"/>
        <v>86.42441683886311</v>
      </c>
      <c r="P330" s="96">
        <f t="shared" si="48"/>
        <v>6.7581101507474557</v>
      </c>
      <c r="Q330" s="97">
        <v>2.4</v>
      </c>
      <c r="R330" s="96">
        <v>6.6</v>
      </c>
      <c r="S330" s="96">
        <v>10.9</v>
      </c>
      <c r="T330" s="96">
        <v>17</v>
      </c>
      <c r="U330" s="96">
        <v>1.7</v>
      </c>
      <c r="V330" s="96">
        <f t="shared" si="47"/>
        <v>9.35</v>
      </c>
      <c r="W330" s="96">
        <v>-0.5</v>
      </c>
      <c r="X330" s="96">
        <v>-1.2</v>
      </c>
      <c r="Y330" s="98">
        <v>9.8000000000000007</v>
      </c>
      <c r="Z330" s="99">
        <v>0</v>
      </c>
    </row>
    <row r="331" spans="1:26">
      <c r="A331" s="78">
        <f t="shared" si="49"/>
        <v>45620</v>
      </c>
      <c r="B331" s="91">
        <v>29.21</v>
      </c>
      <c r="C331" s="92">
        <f t="shared" si="44"/>
        <v>989.16393480000011</v>
      </c>
      <c r="D331" s="92">
        <v>73.3</v>
      </c>
      <c r="E331" s="92">
        <f>(C331-0.163*((D331-32)*5/9) + (0.5685 *((C331-0.163*((D331-32)*5/9)))/1000)) *EXP([9]Calc!$C$14/((M331+273.15)+((0.0065*64.6)/2)+(0.12*0.85*((6.112*EXP((17.67*M331)/(M331+243.5)))))))</f>
        <v>993.4560021604201</v>
      </c>
      <c r="F331" s="93">
        <v>7</v>
      </c>
      <c r="G331" s="94">
        <v>28</v>
      </c>
      <c r="H331" s="32">
        <f t="shared" si="45"/>
        <v>19.599999999999998</v>
      </c>
      <c r="I331" s="84">
        <v>7</v>
      </c>
      <c r="J331" s="95">
        <v>60</v>
      </c>
      <c r="K331" s="84">
        <v>1</v>
      </c>
      <c r="L331" s="84">
        <v>0</v>
      </c>
      <c r="M331" s="96">
        <v>17</v>
      </c>
      <c r="N331" s="96">
        <v>14.7</v>
      </c>
      <c r="O331" s="93">
        <f t="shared" si="46"/>
        <v>76.815746979641148</v>
      </c>
      <c r="P331" s="96">
        <f t="shared" si="48"/>
        <v>12.905421330489636</v>
      </c>
      <c r="Q331" s="97">
        <v>10.8</v>
      </c>
      <c r="R331" s="96">
        <v>8.1999999999999993</v>
      </c>
      <c r="S331" s="96">
        <v>10.5</v>
      </c>
      <c r="T331" s="96">
        <v>17.399999999999999</v>
      </c>
      <c r="U331" s="96">
        <v>8.1999999999999993</v>
      </c>
      <c r="V331" s="96">
        <f t="shared" si="47"/>
        <v>12.799999999999999</v>
      </c>
      <c r="W331" s="96">
        <v>10.8</v>
      </c>
      <c r="X331" s="96">
        <v>10.9</v>
      </c>
      <c r="Y331" s="98">
        <v>27.4</v>
      </c>
      <c r="Z331" s="99">
        <v>0</v>
      </c>
    </row>
    <row r="332" spans="1:26">
      <c r="A332" s="78">
        <f t="shared" si="49"/>
        <v>45621</v>
      </c>
      <c r="B332" s="91">
        <v>29.35</v>
      </c>
      <c r="C332" s="92">
        <f t="shared" si="44"/>
        <v>993.90487800000005</v>
      </c>
      <c r="D332" s="92">
        <v>73</v>
      </c>
      <c r="E332" s="92">
        <f>(C332-0.163*((D332-32)*5/9) + (0.5685 *((C332-0.163*((D332-32)*5/9)))/1000)) *EXP([9]Calc!$C$14/((M332+273.15)+((0.0065*64.6)/2)+(0.12*0.85*((6.112*EXP((17.67*M332)/(M332+243.5)))))))</f>
        <v>998.49407865675391</v>
      </c>
      <c r="F332" s="93">
        <v>1</v>
      </c>
      <c r="G332" s="94">
        <v>15</v>
      </c>
      <c r="H332" s="32">
        <f t="shared" si="45"/>
        <v>10.5</v>
      </c>
      <c r="I332" s="84">
        <v>8</v>
      </c>
      <c r="J332" s="95">
        <v>2</v>
      </c>
      <c r="K332" s="84">
        <v>1</v>
      </c>
      <c r="L332" s="84">
        <v>0</v>
      </c>
      <c r="M332" s="96">
        <v>9.1</v>
      </c>
      <c r="N332" s="96">
        <v>8.1</v>
      </c>
      <c r="O332" s="93">
        <f t="shared" si="46"/>
        <v>86.528574816140207</v>
      </c>
      <c r="P332" s="96">
        <f t="shared" si="48"/>
        <v>6.9722897404709814</v>
      </c>
      <c r="Q332" s="97">
        <v>9</v>
      </c>
      <c r="R332" s="96">
        <v>9.5</v>
      </c>
      <c r="S332" s="96">
        <v>10.199999999999999</v>
      </c>
      <c r="T332" s="96">
        <v>10.8</v>
      </c>
      <c r="U332" s="96">
        <v>8.6999999999999993</v>
      </c>
      <c r="V332" s="96">
        <f t="shared" si="47"/>
        <v>9.75</v>
      </c>
      <c r="W332" s="96">
        <v>5.0999999999999996</v>
      </c>
      <c r="X332" s="96">
        <v>6.4</v>
      </c>
      <c r="Y332" s="98">
        <v>0.1</v>
      </c>
      <c r="Z332" s="99">
        <v>5</v>
      </c>
    </row>
    <row r="333" spans="1:26">
      <c r="A333" s="78">
        <f t="shared" si="49"/>
        <v>45622</v>
      </c>
      <c r="B333" s="91">
        <v>29.838000000000001</v>
      </c>
      <c r="C333" s="92">
        <f t="shared" si="44"/>
        <v>1010.4304514400001</v>
      </c>
      <c r="D333" s="92">
        <v>73.2</v>
      </c>
      <c r="E333" s="92">
        <f>(C333-0.163*((D333-32)*5/9) + (0.5685 *((C333-0.163*((D333-32)*5/9)))/1000)) *EXP([9]Calc!$C$14/((M333+273.15)+((0.0065*64.6)/2)+(0.12*0.85*((6.112*EXP((17.67*M333)/(M333+243.5)))))))</f>
        <v>1015.2549376527725</v>
      </c>
      <c r="F333" s="93">
        <v>1</v>
      </c>
      <c r="G333" s="94">
        <v>6</v>
      </c>
      <c r="H333" s="32">
        <f t="shared" si="45"/>
        <v>4.1999999999999993</v>
      </c>
      <c r="I333" s="84">
        <v>8</v>
      </c>
      <c r="J333" s="95">
        <v>2</v>
      </c>
      <c r="K333" s="84">
        <v>1</v>
      </c>
      <c r="L333" s="84">
        <v>0</v>
      </c>
      <c r="M333" s="96">
        <v>5.3</v>
      </c>
      <c r="N333" s="96">
        <v>4.5999999999999996</v>
      </c>
      <c r="O333" s="93">
        <f t="shared" si="46"/>
        <v>88.949561501820526</v>
      </c>
      <c r="P333" s="96">
        <f t="shared" si="48"/>
        <v>3.6266226280340095</v>
      </c>
      <c r="Q333" s="97">
        <v>5.4</v>
      </c>
      <c r="R333" s="96">
        <v>8.6999999999999993</v>
      </c>
      <c r="S333" s="96">
        <v>10.3</v>
      </c>
      <c r="T333" s="96">
        <v>10.199999999999999</v>
      </c>
      <c r="U333" s="96">
        <v>3.9</v>
      </c>
      <c r="V333" s="96">
        <f t="shared" si="47"/>
        <v>7.05</v>
      </c>
      <c r="W333" s="96">
        <v>-1.3</v>
      </c>
      <c r="X333" s="96">
        <v>0.9</v>
      </c>
      <c r="Y333" s="98">
        <v>7.1</v>
      </c>
      <c r="Z333" s="99">
        <v>6.8</v>
      </c>
    </row>
    <row r="334" spans="1:26">
      <c r="A334" s="78">
        <f t="shared" si="49"/>
        <v>45623</v>
      </c>
      <c r="B334" s="91">
        <v>29.65</v>
      </c>
      <c r="C334" s="92">
        <f t="shared" si="44"/>
        <v>1004.064042</v>
      </c>
      <c r="D334" s="92">
        <v>74.8</v>
      </c>
      <c r="E334" s="92">
        <f>(C334-0.163*((D334-32)*5/9) + (0.5685 *((C334-0.163*((D334-32)*5/9)))/1000)) *EXP([9]Calc!$C$14/((M334+273.15)+((0.0065*64.6)/2)+(0.12*0.85*((6.112*EXP((17.67*M334)/(M334+243.5)))))))</f>
        <v>1008.7156057064316</v>
      </c>
      <c r="F334" s="93">
        <v>8</v>
      </c>
      <c r="G334" s="94">
        <v>15</v>
      </c>
      <c r="H334" s="32">
        <f t="shared" si="45"/>
        <v>10.5</v>
      </c>
      <c r="I334" s="84">
        <v>8</v>
      </c>
      <c r="J334" s="95">
        <v>20</v>
      </c>
      <c r="K334" s="84">
        <v>2</v>
      </c>
      <c r="L334" s="84">
        <v>0</v>
      </c>
      <c r="M334" s="96">
        <v>4.4000000000000004</v>
      </c>
      <c r="N334" s="96">
        <v>4.2</v>
      </c>
      <c r="O334" s="93">
        <f t="shared" si="46"/>
        <v>96.695303203081721</v>
      </c>
      <c r="P334" s="96">
        <f t="shared" si="48"/>
        <v>3.9209443505870611</v>
      </c>
      <c r="Q334" s="97">
        <v>6.1</v>
      </c>
      <c r="R334" s="96">
        <v>7.7</v>
      </c>
      <c r="S334" s="96">
        <v>10.3</v>
      </c>
      <c r="T334" s="96">
        <v>5.3</v>
      </c>
      <c r="U334" s="96">
        <v>4.3</v>
      </c>
      <c r="V334" s="96">
        <f t="shared" si="47"/>
        <v>4.8</v>
      </c>
      <c r="W334" s="96">
        <v>0</v>
      </c>
      <c r="X334" s="96">
        <v>1.6</v>
      </c>
      <c r="Y334" s="98">
        <v>0.3</v>
      </c>
      <c r="Z334" s="99">
        <v>0</v>
      </c>
    </row>
    <row r="335" spans="1:26">
      <c r="A335" s="78">
        <f t="shared" si="49"/>
        <v>45624</v>
      </c>
      <c r="B335" s="91">
        <v>30.236000000000001</v>
      </c>
      <c r="C335" s="92">
        <f t="shared" si="44"/>
        <v>1023.9082756800001</v>
      </c>
      <c r="D335" s="92">
        <v>72.900000000000006</v>
      </c>
      <c r="E335" s="92">
        <f>(C335-0.163*((D335-32)*5/9) + (0.5685 *((C335-0.163*((D335-32)*5/9)))/1000)) *EXP([9]Calc!$C$14/((M335+273.15)+((0.0065*64.6)/2)+(0.12*0.85*((6.112*EXP((17.67*M335)/(M335+243.5)))))))</f>
        <v>1029.0592779096714</v>
      </c>
      <c r="F335" s="93">
        <v>9</v>
      </c>
      <c r="G335" s="94">
        <v>0</v>
      </c>
      <c r="H335" s="32">
        <f t="shared" si="45"/>
        <v>0</v>
      </c>
      <c r="I335" s="84">
        <v>2</v>
      </c>
      <c r="J335" s="95">
        <v>43</v>
      </c>
      <c r="K335" s="84">
        <v>4</v>
      </c>
      <c r="L335" s="84">
        <v>0</v>
      </c>
      <c r="M335" s="96">
        <v>-0.6</v>
      </c>
      <c r="N335" s="96">
        <v>-0.6</v>
      </c>
      <c r="O335" s="93">
        <f t="shared" si="46"/>
        <v>100</v>
      </c>
      <c r="P335" s="96">
        <f t="shared" si="48"/>
        <v>-0.59999999999999809</v>
      </c>
      <c r="Q335" s="97">
        <v>3</v>
      </c>
      <c r="R335" s="96">
        <v>6.9</v>
      </c>
      <c r="S335" s="96">
        <v>10.199999999999999</v>
      </c>
      <c r="T335" s="96">
        <v>6.2</v>
      </c>
      <c r="U335" s="96">
        <v>-1.6</v>
      </c>
      <c r="V335" s="96">
        <f t="shared" si="47"/>
        <v>2.2999999999999998</v>
      </c>
      <c r="W335" s="96">
        <v>-4.5</v>
      </c>
      <c r="X335" s="96">
        <v>-2.6</v>
      </c>
      <c r="Y335" s="98">
        <v>0.1</v>
      </c>
      <c r="Z335" s="99">
        <v>1.4</v>
      </c>
    </row>
    <row r="336" spans="1:26">
      <c r="A336" s="78">
        <f t="shared" si="49"/>
        <v>45625</v>
      </c>
      <c r="B336" s="91">
        <v>30.158000000000001</v>
      </c>
      <c r="C336" s="92">
        <f t="shared" si="44"/>
        <v>1021.2668930400001</v>
      </c>
      <c r="D336" s="92">
        <v>71.599999999999994</v>
      </c>
      <c r="E336" s="92">
        <f>(C336-0.163*((D336-32)*5/9) + (0.5685 *((C336-0.163*((D336-32)*5/9)))/1000)) *EXP([9]Calc!$C$14/((M336+273.15)+((0.0065*64.6)/2)+(0.12*0.85*((6.112*EXP((17.67*M336)/(M336+243.5)))))))</f>
        <v>1026.3019120045305</v>
      </c>
      <c r="F336" s="93">
        <v>6</v>
      </c>
      <c r="G336" s="94">
        <v>8</v>
      </c>
      <c r="H336" s="32">
        <f t="shared" si="45"/>
        <v>5.6</v>
      </c>
      <c r="I336" s="84">
        <v>8</v>
      </c>
      <c r="J336" s="95">
        <v>2</v>
      </c>
      <c r="K336" s="84">
        <v>1</v>
      </c>
      <c r="L336" s="84">
        <v>0</v>
      </c>
      <c r="M336" s="96">
        <v>6.2</v>
      </c>
      <c r="N336" s="96">
        <v>5.0999999999999996</v>
      </c>
      <c r="O336" s="93">
        <f t="shared" si="46"/>
        <v>83.374518931090392</v>
      </c>
      <c r="P336" s="96">
        <f t="shared" si="48"/>
        <v>3.5926323339819919</v>
      </c>
      <c r="Q336" s="97">
        <v>3.8</v>
      </c>
      <c r="R336" s="96">
        <v>6.3</v>
      </c>
      <c r="S336" s="96">
        <v>10</v>
      </c>
      <c r="T336" s="96">
        <v>12</v>
      </c>
      <c r="U336" s="96">
        <v>-1.6</v>
      </c>
      <c r="V336" s="96">
        <f t="shared" si="47"/>
        <v>5.2</v>
      </c>
      <c r="W336" s="96">
        <v>-0.7</v>
      </c>
      <c r="X336" s="96">
        <v>-0.5</v>
      </c>
      <c r="Y336" s="98" t="s">
        <v>22</v>
      </c>
      <c r="Z336" s="99">
        <v>6.3</v>
      </c>
    </row>
    <row r="337" spans="1:26">
      <c r="A337" s="78">
        <f t="shared" si="49"/>
        <v>45626</v>
      </c>
      <c r="B337" s="91">
        <v>30.096</v>
      </c>
      <c r="C337" s="92">
        <f t="shared" si="44"/>
        <v>1019.16733248</v>
      </c>
      <c r="D337" s="92">
        <v>74.2</v>
      </c>
      <c r="E337" s="92">
        <f>(C337-0.163*((D337-32)*5/9) + (0.5685 *((C337-0.163*((D337-32)*5/9)))/1000)) *EXP([9]Calc!$C$14/((M337+273.15)+((0.0065*64.6)/2)+(0.12*0.85*((6.112*EXP((17.67*M337)/(M337+243.5)))))))</f>
        <v>1023.7712264239173</v>
      </c>
      <c r="F337" s="93">
        <v>7</v>
      </c>
      <c r="G337" s="94">
        <v>7</v>
      </c>
      <c r="H337" s="32">
        <f t="shared" si="45"/>
        <v>4.8999999999999995</v>
      </c>
      <c r="I337" s="84">
        <v>8</v>
      </c>
      <c r="J337" s="95">
        <v>1</v>
      </c>
      <c r="K337" s="84">
        <v>1</v>
      </c>
      <c r="L337" s="84">
        <v>0</v>
      </c>
      <c r="M337" s="96">
        <v>12</v>
      </c>
      <c r="N337" s="96">
        <v>11.7</v>
      </c>
      <c r="O337" s="93">
        <f t="shared" si="46"/>
        <v>96.327427825522022</v>
      </c>
      <c r="P337" s="96">
        <f t="shared" si="48"/>
        <v>11.433561939966383</v>
      </c>
      <c r="Q337" s="97">
        <v>7.2</v>
      </c>
      <c r="R337" s="96">
        <v>6.8</v>
      </c>
      <c r="S337" s="96">
        <v>9.8000000000000007</v>
      </c>
      <c r="T337" s="96">
        <v>15.1</v>
      </c>
      <c r="U337" s="96">
        <v>6.1</v>
      </c>
      <c r="V337" s="96">
        <f t="shared" si="47"/>
        <v>10.6</v>
      </c>
      <c r="W337" s="96">
        <v>3.3</v>
      </c>
      <c r="X337" s="96">
        <v>3.4</v>
      </c>
      <c r="Y337" s="98">
        <v>0.6</v>
      </c>
      <c r="Z337" s="99">
        <v>2</v>
      </c>
    </row>
    <row r="338" spans="1:26">
      <c r="A338" s="78">
        <f t="shared" si="49"/>
        <v>45627</v>
      </c>
      <c r="B338" s="84">
        <v>29.771999999999998</v>
      </c>
      <c r="C338" s="84">
        <v>1008.2</v>
      </c>
      <c r="D338" s="84">
        <v>74.8</v>
      </c>
      <c r="E338" s="84">
        <v>1012.7</v>
      </c>
      <c r="F338" s="84">
        <v>8</v>
      </c>
      <c r="G338" s="84">
        <v>13</v>
      </c>
      <c r="H338" s="84">
        <v>9.1</v>
      </c>
      <c r="I338" s="84">
        <v>7</v>
      </c>
      <c r="J338" s="84">
        <v>50</v>
      </c>
      <c r="K338" s="84">
        <v>1</v>
      </c>
      <c r="L338" s="84">
        <v>0</v>
      </c>
      <c r="M338" s="84">
        <v>12.1</v>
      </c>
      <c r="N338" s="84">
        <v>11.8</v>
      </c>
      <c r="O338" s="84">
        <v>96</v>
      </c>
      <c r="P338" s="84">
        <v>11.5</v>
      </c>
      <c r="Q338" s="84">
        <v>9.4</v>
      </c>
      <c r="R338" s="84">
        <v>8.3000000000000007</v>
      </c>
      <c r="S338" s="84">
        <v>9.6999999999999993</v>
      </c>
      <c r="T338" s="84">
        <v>14.3</v>
      </c>
      <c r="U338" s="84">
        <v>11.9</v>
      </c>
      <c r="V338" s="84">
        <v>13.1</v>
      </c>
      <c r="W338" s="84">
        <v>8.4</v>
      </c>
      <c r="X338" s="84">
        <v>9</v>
      </c>
      <c r="Y338" s="84">
        <v>0.7</v>
      </c>
      <c r="Z338" s="84">
        <v>0.4</v>
      </c>
    </row>
    <row r="339" spans="1:26">
      <c r="A339" s="78">
        <f t="shared" si="49"/>
        <v>45628</v>
      </c>
      <c r="B339" s="84">
        <v>29.742000000000001</v>
      </c>
      <c r="C339" s="84">
        <v>1007.2</v>
      </c>
      <c r="D339" s="84">
        <v>74.2</v>
      </c>
      <c r="E339" s="84">
        <v>1011.8</v>
      </c>
      <c r="F339" s="84">
        <v>6</v>
      </c>
      <c r="G339" s="84">
        <v>8</v>
      </c>
      <c r="H339" s="84">
        <v>5.6</v>
      </c>
      <c r="I339" s="84">
        <v>8</v>
      </c>
      <c r="J339" s="84">
        <v>3</v>
      </c>
      <c r="K339" s="84">
        <v>1</v>
      </c>
      <c r="L339" s="84">
        <v>0</v>
      </c>
      <c r="M339" s="84">
        <v>8.1</v>
      </c>
      <c r="N339" s="84">
        <v>7.5</v>
      </c>
      <c r="O339" s="84">
        <v>92</v>
      </c>
      <c r="P339" s="84">
        <v>6.8</v>
      </c>
      <c r="Q339" s="84">
        <v>8</v>
      </c>
      <c r="R339" s="84">
        <v>8.9</v>
      </c>
      <c r="S339" s="84">
        <v>9.5</v>
      </c>
      <c r="T339" s="84">
        <v>9.6999999999999993</v>
      </c>
      <c r="U339" s="84">
        <v>7.6</v>
      </c>
      <c r="V339" s="84">
        <v>8.6999999999999993</v>
      </c>
      <c r="W339" s="84">
        <v>4.0999999999999996</v>
      </c>
      <c r="X339" s="84">
        <v>5.5</v>
      </c>
      <c r="Y339" s="84">
        <v>0.1</v>
      </c>
      <c r="Z339" s="84">
        <v>2.9</v>
      </c>
    </row>
    <row r="340" spans="1:26">
      <c r="A340" s="78">
        <f t="shared" si="49"/>
        <v>45629</v>
      </c>
      <c r="B340" s="84">
        <v>30.077999999999999</v>
      </c>
      <c r="C340" s="84">
        <v>1018.6</v>
      </c>
      <c r="D340" s="84">
        <v>74.099999999999994</v>
      </c>
      <c r="E340" s="84">
        <v>1023.4</v>
      </c>
      <c r="F340" s="84">
        <v>6</v>
      </c>
      <c r="G340" s="84">
        <v>0</v>
      </c>
      <c r="H340" s="84">
        <v>0</v>
      </c>
      <c r="I340" s="84">
        <v>8</v>
      </c>
      <c r="J340" s="84">
        <v>2</v>
      </c>
      <c r="K340" s="84">
        <v>1</v>
      </c>
      <c r="L340" s="84">
        <v>0</v>
      </c>
      <c r="M340" s="84">
        <v>3.8</v>
      </c>
      <c r="N340" s="84">
        <v>3.7</v>
      </c>
      <c r="O340" s="84">
        <v>98</v>
      </c>
      <c r="P340" s="84">
        <v>3.6</v>
      </c>
      <c r="Q340" s="84">
        <v>5.9</v>
      </c>
      <c r="R340" s="84">
        <v>8.4</v>
      </c>
      <c r="S340" s="84">
        <v>9.8000000000000007</v>
      </c>
      <c r="T340" s="84">
        <v>6.9</v>
      </c>
      <c r="U340" s="84">
        <v>2.5</v>
      </c>
      <c r="V340" s="84">
        <v>4.7</v>
      </c>
      <c r="W340" s="84">
        <v>-1.6</v>
      </c>
      <c r="X340" s="84">
        <v>0.7</v>
      </c>
      <c r="Y340" s="84" t="s">
        <v>22</v>
      </c>
      <c r="Z340" s="84">
        <v>0.8</v>
      </c>
    </row>
    <row r="341" spans="1:26">
      <c r="A341" s="78">
        <f t="shared" si="49"/>
        <v>45630</v>
      </c>
      <c r="B341" s="84">
        <v>30.16</v>
      </c>
      <c r="C341" s="84">
        <v>1021.3</v>
      </c>
      <c r="D341" s="84">
        <v>73</v>
      </c>
      <c r="E341" s="84">
        <v>1026.3</v>
      </c>
      <c r="F341" s="84">
        <v>3</v>
      </c>
      <c r="G341" s="84">
        <v>6</v>
      </c>
      <c r="H341" s="84">
        <v>4.2</v>
      </c>
      <c r="I341" s="84">
        <v>8</v>
      </c>
      <c r="J341" s="84">
        <v>2</v>
      </c>
      <c r="K341" s="84">
        <v>1</v>
      </c>
      <c r="L341" s="84">
        <v>0</v>
      </c>
      <c r="M341" s="84">
        <v>4.8</v>
      </c>
      <c r="N341" s="84">
        <v>4</v>
      </c>
      <c r="O341" s="84">
        <v>87</v>
      </c>
      <c r="P341" s="84">
        <v>2.8</v>
      </c>
      <c r="Q341" s="84">
        <v>5.2</v>
      </c>
      <c r="R341" s="84">
        <v>7.5</v>
      </c>
      <c r="S341" s="84">
        <v>9.8000000000000007</v>
      </c>
      <c r="T341" s="84">
        <v>13</v>
      </c>
      <c r="U341" s="84">
        <v>1.6</v>
      </c>
      <c r="V341" s="84">
        <v>7.3</v>
      </c>
      <c r="W341" s="84">
        <v>-1.8</v>
      </c>
      <c r="X341" s="84">
        <v>-0.2</v>
      </c>
      <c r="Y341" s="84">
        <v>8.1</v>
      </c>
      <c r="Z341" s="84">
        <v>1.1000000000000001</v>
      </c>
    </row>
    <row r="342" spans="1:26">
      <c r="A342" s="78">
        <f t="shared" si="49"/>
        <v>45631</v>
      </c>
      <c r="B342" s="84">
        <v>29.687999999999999</v>
      </c>
      <c r="C342" s="84">
        <v>1005.4</v>
      </c>
      <c r="D342" s="84">
        <v>74.3</v>
      </c>
      <c r="E342" s="84">
        <v>1009.8</v>
      </c>
      <c r="F342" s="84">
        <v>8</v>
      </c>
      <c r="G342" s="84">
        <v>20</v>
      </c>
      <c r="H342" s="84">
        <v>14</v>
      </c>
      <c r="I342" s="84">
        <v>8</v>
      </c>
      <c r="J342" s="84">
        <v>2</v>
      </c>
      <c r="K342" s="84">
        <v>1</v>
      </c>
      <c r="L342" s="84">
        <v>0</v>
      </c>
      <c r="M342" s="84">
        <v>13</v>
      </c>
      <c r="N342" s="84">
        <v>12.2</v>
      </c>
      <c r="O342" s="84">
        <v>91</v>
      </c>
      <c r="P342" s="84">
        <v>11.5</v>
      </c>
      <c r="Q342" s="84">
        <v>9</v>
      </c>
      <c r="R342" s="84">
        <v>8</v>
      </c>
      <c r="S342" s="84">
        <v>9.8000000000000007</v>
      </c>
      <c r="T342" s="84">
        <v>13.2</v>
      </c>
      <c r="U342" s="84">
        <v>4.8</v>
      </c>
      <c r="V342" s="84">
        <v>9</v>
      </c>
      <c r="W342" s="84">
        <v>1</v>
      </c>
      <c r="X342" s="84">
        <v>2.8</v>
      </c>
      <c r="Y342" s="84">
        <v>7.4</v>
      </c>
      <c r="Z342" s="84">
        <v>0</v>
      </c>
    </row>
    <row r="343" spans="1:26">
      <c r="A343" s="78">
        <f t="shared" si="49"/>
        <v>45632</v>
      </c>
      <c r="B343" s="84">
        <v>29.9</v>
      </c>
      <c r="C343" s="84">
        <v>1012.5</v>
      </c>
      <c r="D343" s="84">
        <v>73.599999999999994</v>
      </c>
      <c r="E343" s="84">
        <v>1017.3</v>
      </c>
      <c r="F343" s="84">
        <v>1</v>
      </c>
      <c r="G343" s="84">
        <v>4</v>
      </c>
      <c r="H343" s="84">
        <v>2.8</v>
      </c>
      <c r="I343" s="84">
        <v>8</v>
      </c>
      <c r="J343" s="84">
        <v>2</v>
      </c>
      <c r="K343" s="84">
        <v>1</v>
      </c>
      <c r="L343" s="84">
        <v>0</v>
      </c>
      <c r="M343" s="84">
        <v>5.0999999999999996</v>
      </c>
      <c r="N343" s="84">
        <v>4.0999999999999996</v>
      </c>
      <c r="O343" s="84">
        <v>84</v>
      </c>
      <c r="P343" s="84">
        <v>2.6</v>
      </c>
      <c r="Q343" s="84">
        <v>6.4</v>
      </c>
      <c r="R343" s="84">
        <v>8.6</v>
      </c>
      <c r="S343" s="84">
        <v>9.6999999999999993</v>
      </c>
      <c r="T343" s="84">
        <v>13</v>
      </c>
      <c r="U343" s="84">
        <v>5</v>
      </c>
      <c r="V343" s="84">
        <v>9</v>
      </c>
      <c r="W343" s="84">
        <v>1.4</v>
      </c>
      <c r="X343" s="84">
        <v>2.2999999999999998</v>
      </c>
      <c r="Y343" s="84">
        <v>5.6</v>
      </c>
      <c r="Z343" s="84">
        <v>0</v>
      </c>
    </row>
    <row r="344" spans="1:26">
      <c r="A344" s="78">
        <f t="shared" si="49"/>
        <v>45633</v>
      </c>
      <c r="B344" s="84">
        <v>29.06</v>
      </c>
      <c r="C344" s="84">
        <v>984.1</v>
      </c>
      <c r="D344" s="84">
        <v>72</v>
      </c>
      <c r="E344" s="84">
        <v>988.7</v>
      </c>
      <c r="F344" s="84">
        <v>8</v>
      </c>
      <c r="G344" s="84">
        <v>10</v>
      </c>
      <c r="H344" s="84">
        <v>7</v>
      </c>
      <c r="I344" s="84">
        <v>8</v>
      </c>
      <c r="J344" s="84">
        <v>2</v>
      </c>
      <c r="K344" s="84">
        <v>2</v>
      </c>
      <c r="L344" s="84">
        <v>0</v>
      </c>
      <c r="M344" s="84">
        <v>6.9</v>
      </c>
      <c r="N344" s="84">
        <v>6.4</v>
      </c>
      <c r="O344" s="84">
        <v>93</v>
      </c>
      <c r="P344" s="84">
        <v>5.8</v>
      </c>
      <c r="Q344" s="84">
        <v>7.3</v>
      </c>
      <c r="R344" s="84">
        <v>8.4</v>
      </c>
      <c r="S344" s="84">
        <v>9.6999999999999993</v>
      </c>
      <c r="T344" s="84">
        <v>7.5</v>
      </c>
      <c r="U344" s="84">
        <v>5</v>
      </c>
      <c r="V344" s="84">
        <v>6.3</v>
      </c>
      <c r="W344" s="84">
        <v>2.2000000000000002</v>
      </c>
      <c r="X344" s="84">
        <v>2.4</v>
      </c>
      <c r="Y344" s="84">
        <v>3.6</v>
      </c>
      <c r="Z344" s="84">
        <v>0</v>
      </c>
    </row>
    <row r="345" spans="1:26">
      <c r="A345" s="78">
        <f t="shared" si="49"/>
        <v>45634</v>
      </c>
      <c r="B345" s="84">
        <v>29.978000000000002</v>
      </c>
      <c r="C345" s="84">
        <v>1015.2</v>
      </c>
      <c r="D345" s="84">
        <v>72.900000000000006</v>
      </c>
      <c r="E345" s="84">
        <v>1020</v>
      </c>
      <c r="F345" s="84">
        <v>8</v>
      </c>
      <c r="G345" s="84">
        <v>25</v>
      </c>
      <c r="H345" s="84">
        <v>17.5</v>
      </c>
      <c r="I345" s="84">
        <v>6</v>
      </c>
      <c r="J345" s="84">
        <v>2</v>
      </c>
      <c r="K345" s="84">
        <v>2</v>
      </c>
      <c r="L345" s="84">
        <v>0</v>
      </c>
      <c r="M345" s="84">
        <v>6.8</v>
      </c>
      <c r="N345" s="84">
        <v>4.8</v>
      </c>
      <c r="O345" s="84">
        <v>71</v>
      </c>
      <c r="P345" s="84">
        <v>1.9</v>
      </c>
      <c r="Q345" s="84">
        <v>6.1</v>
      </c>
      <c r="R345" s="84">
        <v>7.8</v>
      </c>
      <c r="S345" s="84">
        <v>9.6</v>
      </c>
      <c r="T345" s="84">
        <v>7.8</v>
      </c>
      <c r="U345" s="84">
        <v>5.4</v>
      </c>
      <c r="V345" s="84">
        <v>6.6</v>
      </c>
      <c r="W345" s="84">
        <v>4</v>
      </c>
      <c r="X345" s="84">
        <v>4.5</v>
      </c>
      <c r="Y345" s="84">
        <v>2.2000000000000002</v>
      </c>
      <c r="Z345" s="84">
        <v>0.1</v>
      </c>
    </row>
    <row r="346" spans="1:26">
      <c r="A346" s="78">
        <f t="shared" si="49"/>
        <v>45635</v>
      </c>
      <c r="B346" s="84">
        <v>30.34</v>
      </c>
      <c r="C346" s="84">
        <v>1027.4000000000001</v>
      </c>
      <c r="D346" s="84">
        <v>72.900000000000006</v>
      </c>
      <c r="E346" s="84">
        <v>1032.4000000000001</v>
      </c>
      <c r="F346" s="84">
        <v>8</v>
      </c>
      <c r="G346" s="84">
        <v>25</v>
      </c>
      <c r="H346" s="84">
        <v>17.5</v>
      </c>
      <c r="I346" s="84">
        <v>8</v>
      </c>
      <c r="J346" s="84">
        <v>2</v>
      </c>
      <c r="K346" s="84">
        <v>2</v>
      </c>
      <c r="L346" s="84">
        <v>0</v>
      </c>
      <c r="M346" s="84">
        <v>5.9</v>
      </c>
      <c r="N346" s="84">
        <v>5.2</v>
      </c>
      <c r="O346" s="84">
        <v>89</v>
      </c>
      <c r="P346" s="84">
        <v>4.3</v>
      </c>
      <c r="Q346" s="84">
        <v>6.6</v>
      </c>
      <c r="R346" s="84">
        <v>7.7</v>
      </c>
      <c r="S346" s="84">
        <v>9.6</v>
      </c>
      <c r="T346" s="84">
        <v>7.5</v>
      </c>
      <c r="U346" s="84">
        <v>5.8</v>
      </c>
      <c r="V346" s="84">
        <v>6.7</v>
      </c>
      <c r="W346" s="84">
        <v>5</v>
      </c>
      <c r="X346" s="84">
        <v>5.2</v>
      </c>
      <c r="Y346" s="84">
        <v>0.4</v>
      </c>
      <c r="Z346" s="84">
        <v>0.4</v>
      </c>
    </row>
    <row r="347" spans="1:26">
      <c r="A347" s="78">
        <f t="shared" si="49"/>
        <v>45636</v>
      </c>
      <c r="B347" s="84">
        <v>30.4</v>
      </c>
      <c r="C347" s="84">
        <v>1029.5</v>
      </c>
      <c r="D347" s="84">
        <v>73</v>
      </c>
      <c r="E347" s="84">
        <v>1034.4000000000001</v>
      </c>
      <c r="F347" s="84">
        <v>8</v>
      </c>
      <c r="G347" s="84">
        <v>12</v>
      </c>
      <c r="H347" s="84">
        <v>8.4</v>
      </c>
      <c r="I347" s="84">
        <v>8</v>
      </c>
      <c r="J347" s="84">
        <v>2</v>
      </c>
      <c r="K347" s="84">
        <v>1</v>
      </c>
      <c r="L347" s="84">
        <v>0</v>
      </c>
      <c r="M347" s="84">
        <v>6.1</v>
      </c>
      <c r="N347" s="84">
        <v>5.3</v>
      </c>
      <c r="O347" s="84">
        <v>88</v>
      </c>
      <c r="P347" s="84">
        <v>4.2</v>
      </c>
      <c r="Q347" s="84">
        <v>6.5</v>
      </c>
      <c r="R347" s="84">
        <v>7.7</v>
      </c>
      <c r="S347" s="84">
        <v>9.5</v>
      </c>
      <c r="T347" s="84">
        <v>6.8</v>
      </c>
      <c r="U347" s="84">
        <v>5.4</v>
      </c>
      <c r="V347" s="84">
        <v>6.1</v>
      </c>
      <c r="W347" s="84">
        <v>3.9</v>
      </c>
      <c r="X347" s="84">
        <v>4.7</v>
      </c>
      <c r="Y347" s="84" t="s">
        <v>22</v>
      </c>
      <c r="Z347" s="84">
        <v>0</v>
      </c>
    </row>
    <row r="348" spans="1:26">
      <c r="A348" s="78">
        <f t="shared" si="49"/>
        <v>45637</v>
      </c>
      <c r="B348" s="84">
        <v>30.38</v>
      </c>
      <c r="C348" s="84">
        <v>1028.8</v>
      </c>
      <c r="D348" s="84">
        <v>71.900000000000006</v>
      </c>
      <c r="E348" s="84">
        <v>1033.9000000000001</v>
      </c>
      <c r="F348" s="84">
        <v>8</v>
      </c>
      <c r="G348" s="84">
        <v>10</v>
      </c>
      <c r="H348" s="84">
        <v>7</v>
      </c>
      <c r="I348" s="84">
        <v>8</v>
      </c>
      <c r="J348" s="84">
        <v>2</v>
      </c>
      <c r="K348" s="84">
        <v>0</v>
      </c>
      <c r="L348" s="84">
        <v>0</v>
      </c>
      <c r="M348" s="84">
        <v>5.6</v>
      </c>
      <c r="N348" s="84">
        <v>4.4000000000000004</v>
      </c>
      <c r="O348" s="84">
        <v>81</v>
      </c>
      <c r="P348" s="84">
        <v>2.7</v>
      </c>
      <c r="Q348" s="84">
        <v>5.9</v>
      </c>
      <c r="R348" s="84">
        <v>7.5</v>
      </c>
      <c r="S348" s="84">
        <v>9.5</v>
      </c>
      <c r="T348" s="84">
        <v>6.4</v>
      </c>
      <c r="U348" s="84">
        <v>5.3</v>
      </c>
      <c r="V348" s="84">
        <v>5.9</v>
      </c>
      <c r="W348" s="84">
        <v>4.5</v>
      </c>
      <c r="X348" s="84">
        <v>4.8</v>
      </c>
      <c r="Y348" s="84" t="s">
        <v>62</v>
      </c>
      <c r="Z348" s="84">
        <v>0</v>
      </c>
    </row>
    <row r="349" spans="1:26">
      <c r="A349" s="78">
        <f t="shared" si="49"/>
        <v>45638</v>
      </c>
      <c r="B349" s="84">
        <v>30.34</v>
      </c>
      <c r="C349" s="84">
        <v>1027.4000000000001</v>
      </c>
      <c r="D349" s="84">
        <v>72.5</v>
      </c>
      <c r="E349" s="84">
        <v>1032.5</v>
      </c>
      <c r="F349" s="84">
        <v>9</v>
      </c>
      <c r="G349" s="84">
        <v>5</v>
      </c>
      <c r="H349" s="84">
        <v>3.5</v>
      </c>
      <c r="I349" s="84">
        <v>3</v>
      </c>
      <c r="J349" s="84">
        <v>2</v>
      </c>
      <c r="K349" s="84">
        <v>2</v>
      </c>
      <c r="L349" s="84">
        <v>0</v>
      </c>
      <c r="M349" s="84">
        <v>4.7</v>
      </c>
      <c r="N349" s="84">
        <v>4.5999999999999996</v>
      </c>
      <c r="O349" s="84">
        <v>98</v>
      </c>
      <c r="P349" s="84">
        <v>4.5</v>
      </c>
      <c r="Q349" s="84">
        <v>6</v>
      </c>
      <c r="R349" s="84">
        <v>7.4</v>
      </c>
      <c r="S349" s="84">
        <v>9.5</v>
      </c>
      <c r="T349" s="84">
        <v>6.8</v>
      </c>
      <c r="U349" s="84">
        <v>4.2</v>
      </c>
      <c r="V349" s="84">
        <v>5.5</v>
      </c>
      <c r="W349" s="84">
        <v>3.2</v>
      </c>
      <c r="X349" s="84">
        <v>4</v>
      </c>
      <c r="Y349" s="84">
        <v>0.6</v>
      </c>
      <c r="Z349" s="84">
        <v>0</v>
      </c>
    </row>
    <row r="350" spans="1:26">
      <c r="A350" s="78">
        <f t="shared" si="49"/>
        <v>45639</v>
      </c>
      <c r="B350" s="84">
        <v>30.196000000000002</v>
      </c>
      <c r="C350" s="84">
        <v>1022.6</v>
      </c>
      <c r="D350" s="84">
        <v>72.400000000000006</v>
      </c>
      <c r="E350" s="84">
        <v>1027.5</v>
      </c>
      <c r="F350" s="84">
        <v>8</v>
      </c>
      <c r="G350" s="84">
        <v>0</v>
      </c>
      <c r="H350" s="84">
        <v>0</v>
      </c>
      <c r="I350" s="84">
        <v>4</v>
      </c>
      <c r="J350" s="84">
        <v>51</v>
      </c>
      <c r="K350" s="84">
        <v>1</v>
      </c>
      <c r="L350" s="84">
        <v>0</v>
      </c>
      <c r="M350" s="84">
        <v>5.8</v>
      </c>
      <c r="N350" s="84">
        <v>5.6</v>
      </c>
      <c r="O350" s="84">
        <v>97</v>
      </c>
      <c r="P350" s="84">
        <v>5.3</v>
      </c>
      <c r="Q350" s="84">
        <v>6.7</v>
      </c>
      <c r="R350" s="84">
        <v>7.5</v>
      </c>
      <c r="S350" s="84">
        <v>9.3000000000000007</v>
      </c>
      <c r="T350" s="84">
        <v>6.4</v>
      </c>
      <c r="U350" s="84">
        <v>4.5</v>
      </c>
      <c r="V350" s="84">
        <v>5.5</v>
      </c>
      <c r="W350" s="84">
        <v>4.9000000000000004</v>
      </c>
      <c r="X350" s="84">
        <v>5.2</v>
      </c>
      <c r="Y350" s="84">
        <v>1.4</v>
      </c>
      <c r="Z350" s="84">
        <v>0</v>
      </c>
    </row>
    <row r="351" spans="1:26">
      <c r="A351" s="78">
        <f t="shared" si="49"/>
        <v>45640</v>
      </c>
      <c r="B351" s="84">
        <v>30.08</v>
      </c>
      <c r="C351" s="84">
        <v>1018.6</v>
      </c>
      <c r="D351" s="84">
        <v>73</v>
      </c>
      <c r="E351" s="84">
        <v>1023.5</v>
      </c>
      <c r="F351" s="84">
        <v>7</v>
      </c>
      <c r="G351" s="84">
        <v>6</v>
      </c>
      <c r="H351" s="84">
        <v>4.2</v>
      </c>
      <c r="I351" s="84">
        <v>8</v>
      </c>
      <c r="J351" s="84">
        <v>1</v>
      </c>
      <c r="K351" s="84">
        <v>1</v>
      </c>
      <c r="L351" s="84">
        <v>0</v>
      </c>
      <c r="M351" s="84">
        <v>5.5</v>
      </c>
      <c r="N351" s="84">
        <v>4.9000000000000004</v>
      </c>
      <c r="O351" s="84">
        <v>91</v>
      </c>
      <c r="P351" s="84">
        <v>4.0999999999999996</v>
      </c>
      <c r="Q351" s="84">
        <v>6</v>
      </c>
      <c r="R351" s="84">
        <v>7.5</v>
      </c>
      <c r="S351" s="84">
        <v>9.3000000000000007</v>
      </c>
      <c r="T351" s="84">
        <v>9.8000000000000007</v>
      </c>
      <c r="U351" s="84">
        <v>4.3</v>
      </c>
      <c r="V351" s="84">
        <v>7.1</v>
      </c>
      <c r="W351" s="84">
        <v>2.8</v>
      </c>
      <c r="X351" s="84">
        <v>3.8</v>
      </c>
      <c r="Y351" s="84" t="s">
        <v>22</v>
      </c>
      <c r="Z351" s="84">
        <v>4.5</v>
      </c>
    </row>
    <row r="352" spans="1:26">
      <c r="A352" s="78">
        <f t="shared" si="49"/>
        <v>45641</v>
      </c>
      <c r="B352" s="84">
        <v>30.212</v>
      </c>
      <c r="C352" s="84">
        <v>1023.1</v>
      </c>
      <c r="D352" s="84">
        <v>74.5</v>
      </c>
      <c r="E352" s="84">
        <v>1027.8</v>
      </c>
      <c r="F352" s="84">
        <v>4</v>
      </c>
      <c r="G352" s="84">
        <v>8</v>
      </c>
      <c r="H352" s="84">
        <v>5.6</v>
      </c>
      <c r="I352" s="84">
        <v>8</v>
      </c>
      <c r="J352" s="84">
        <v>1</v>
      </c>
      <c r="K352" s="84">
        <v>1</v>
      </c>
      <c r="L352" s="84">
        <v>0</v>
      </c>
      <c r="M352" s="84">
        <v>9.3000000000000007</v>
      </c>
      <c r="N352" s="84">
        <v>8.9</v>
      </c>
      <c r="O352" s="84">
        <v>95</v>
      </c>
      <c r="P352" s="84">
        <v>8.5</v>
      </c>
      <c r="Q352" s="84">
        <v>6.8</v>
      </c>
      <c r="R352" s="84">
        <v>7.3</v>
      </c>
      <c r="S352" s="84">
        <v>9.3000000000000007</v>
      </c>
      <c r="T352" s="84">
        <v>12.1</v>
      </c>
      <c r="U352" s="84">
        <v>5.4</v>
      </c>
      <c r="V352" s="84">
        <v>8.8000000000000007</v>
      </c>
      <c r="W352" s="84">
        <v>2.4</v>
      </c>
      <c r="X352" s="84">
        <v>3.9</v>
      </c>
      <c r="Y352" s="84" t="s">
        <v>62</v>
      </c>
      <c r="Z352" s="84">
        <v>1</v>
      </c>
    </row>
    <row r="353" spans="1:26">
      <c r="A353" s="78">
        <f t="shared" si="49"/>
        <v>45642</v>
      </c>
      <c r="B353" s="84">
        <v>30.321999999999999</v>
      </c>
      <c r="C353" s="84">
        <v>1026.8</v>
      </c>
      <c r="D353" s="84">
        <v>74.2</v>
      </c>
      <c r="E353" s="84">
        <v>1031.5999999999999</v>
      </c>
      <c r="F353" s="84">
        <v>8</v>
      </c>
      <c r="G353" s="84">
        <v>14</v>
      </c>
      <c r="H353" s="84">
        <v>9.8000000000000007</v>
      </c>
      <c r="I353" s="84">
        <v>8</v>
      </c>
      <c r="J353" s="84">
        <v>2</v>
      </c>
      <c r="K353" s="84">
        <v>1</v>
      </c>
      <c r="L353" s="84">
        <v>0</v>
      </c>
      <c r="M353" s="84">
        <v>9.8000000000000007</v>
      </c>
      <c r="N353" s="84">
        <v>8.6999999999999993</v>
      </c>
      <c r="O353" s="84">
        <v>86</v>
      </c>
      <c r="P353" s="84">
        <v>7.5</v>
      </c>
      <c r="Q353" s="84">
        <v>8.1999999999999993</v>
      </c>
      <c r="R353" s="84">
        <v>8</v>
      </c>
      <c r="S353" s="84">
        <v>9.3000000000000007</v>
      </c>
      <c r="T353" s="84">
        <v>10.9</v>
      </c>
      <c r="U353" s="84">
        <v>9</v>
      </c>
      <c r="V353" s="84">
        <v>10</v>
      </c>
      <c r="W353" s="84">
        <v>5.9</v>
      </c>
      <c r="X353" s="84">
        <v>6.9</v>
      </c>
      <c r="Y353" s="84" t="s">
        <v>22</v>
      </c>
      <c r="Z353" s="84">
        <v>0.7</v>
      </c>
    </row>
    <row r="354" spans="1:26">
      <c r="A354" s="78">
        <f t="shared" si="49"/>
        <v>45643</v>
      </c>
      <c r="B354" s="84">
        <v>30.134</v>
      </c>
      <c r="C354" s="84">
        <v>1020.5</v>
      </c>
      <c r="D354" s="84">
        <v>73.900000000000006</v>
      </c>
      <c r="E354" s="84">
        <v>1025.2</v>
      </c>
      <c r="F354" s="84">
        <v>8</v>
      </c>
      <c r="G354" s="84">
        <v>7</v>
      </c>
      <c r="H354" s="84">
        <v>4.9000000000000004</v>
      </c>
      <c r="I354" s="84">
        <v>7</v>
      </c>
      <c r="J354" s="84">
        <v>2</v>
      </c>
      <c r="K354" s="84">
        <v>1</v>
      </c>
      <c r="L354" s="84">
        <v>0</v>
      </c>
      <c r="M354" s="84">
        <v>8.3000000000000007</v>
      </c>
      <c r="N354" s="84">
        <v>8.1</v>
      </c>
      <c r="O354" s="84">
        <v>97</v>
      </c>
      <c r="P354" s="84">
        <v>7.9</v>
      </c>
      <c r="Q354" s="84">
        <v>6.5</v>
      </c>
      <c r="R354" s="84">
        <v>8</v>
      </c>
      <c r="S354" s="84">
        <v>9.3000000000000007</v>
      </c>
      <c r="T354" s="84">
        <v>10</v>
      </c>
      <c r="U354" s="84">
        <v>5.4</v>
      </c>
      <c r="V354" s="84">
        <v>7.7</v>
      </c>
      <c r="W354" s="84">
        <v>0.4</v>
      </c>
      <c r="X354" s="84">
        <v>2.5</v>
      </c>
      <c r="Y354" s="84">
        <v>1.8</v>
      </c>
      <c r="Z354" s="84">
        <v>0</v>
      </c>
    </row>
    <row r="355" spans="1:26">
      <c r="A355" s="78">
        <f t="shared" si="49"/>
        <v>45644</v>
      </c>
      <c r="B355" s="84">
        <v>29.564</v>
      </c>
      <c r="C355" s="84">
        <v>1001.2</v>
      </c>
      <c r="D355" s="84">
        <v>74</v>
      </c>
      <c r="E355" s="84">
        <v>1005.6</v>
      </c>
      <c r="F355" s="84">
        <v>6</v>
      </c>
      <c r="G355" s="84">
        <v>25</v>
      </c>
      <c r="H355" s="84">
        <v>17.5</v>
      </c>
      <c r="I355" s="84">
        <v>8</v>
      </c>
      <c r="J355" s="84">
        <v>2</v>
      </c>
      <c r="K355" s="84">
        <v>1</v>
      </c>
      <c r="L355" s="84">
        <v>0</v>
      </c>
      <c r="M355" s="84">
        <v>13.7</v>
      </c>
      <c r="N355" s="84">
        <v>11.1</v>
      </c>
      <c r="O355" s="84">
        <v>71</v>
      </c>
      <c r="P355" s="84">
        <v>8.5</v>
      </c>
      <c r="Q355" s="84">
        <v>9.1999999999999993</v>
      </c>
      <c r="R355" s="84">
        <v>8.3000000000000007</v>
      </c>
      <c r="S355" s="84">
        <v>9.4</v>
      </c>
      <c r="T355" s="84">
        <v>13.8</v>
      </c>
      <c r="U355" s="84">
        <v>7.9</v>
      </c>
      <c r="V355" s="84">
        <v>10.9</v>
      </c>
      <c r="W355" s="84">
        <v>6.9</v>
      </c>
      <c r="X355" s="84">
        <v>6.1</v>
      </c>
      <c r="Y355" s="84">
        <v>8.8000000000000007</v>
      </c>
      <c r="Z355" s="84">
        <v>0</v>
      </c>
    </row>
    <row r="356" spans="1:26">
      <c r="A356" s="78">
        <f t="shared" si="49"/>
        <v>45645</v>
      </c>
      <c r="B356" s="84">
        <v>29.611999999999998</v>
      </c>
      <c r="C356" s="84">
        <v>1002.8</v>
      </c>
      <c r="D356" s="84">
        <v>73.599999999999994</v>
      </c>
      <c r="E356" s="84">
        <v>1007.5</v>
      </c>
      <c r="F356" s="84">
        <v>2</v>
      </c>
      <c r="G356" s="84">
        <v>12</v>
      </c>
      <c r="H356" s="84">
        <v>8.4</v>
      </c>
      <c r="I356" s="84">
        <v>8</v>
      </c>
      <c r="J356" s="84">
        <v>2</v>
      </c>
      <c r="K356" s="84">
        <v>1</v>
      </c>
      <c r="L356" s="84">
        <v>0</v>
      </c>
      <c r="M356" s="84">
        <v>4</v>
      </c>
      <c r="N356" s="84">
        <v>3.5</v>
      </c>
      <c r="O356" s="84">
        <v>92</v>
      </c>
      <c r="P356" s="84">
        <v>2.8</v>
      </c>
      <c r="Q356" s="84">
        <v>7.5</v>
      </c>
      <c r="R356" s="84">
        <v>8.9</v>
      </c>
      <c r="S356" s="84">
        <v>9.3000000000000007</v>
      </c>
      <c r="T356" s="84">
        <v>6.4</v>
      </c>
      <c r="U356" s="84">
        <v>3.5</v>
      </c>
      <c r="V356" s="84">
        <v>5</v>
      </c>
      <c r="W356" s="84">
        <v>1</v>
      </c>
      <c r="X356" s="84">
        <v>2.2999999999999998</v>
      </c>
      <c r="Y356" s="84" t="s">
        <v>22</v>
      </c>
      <c r="Z356" s="84">
        <v>4.5</v>
      </c>
    </row>
    <row r="357" spans="1:26">
      <c r="A357" s="78">
        <f t="shared" si="49"/>
        <v>45646</v>
      </c>
      <c r="B357" s="84">
        <v>29.96</v>
      </c>
      <c r="C357" s="84">
        <v>1014.6</v>
      </c>
      <c r="D357" s="84">
        <v>75.900000000000006</v>
      </c>
      <c r="E357" s="84">
        <v>1019.2</v>
      </c>
      <c r="F357" s="84">
        <v>3</v>
      </c>
      <c r="G357" s="84">
        <v>0</v>
      </c>
      <c r="H357" s="84">
        <v>0</v>
      </c>
      <c r="I357" s="84">
        <v>8</v>
      </c>
      <c r="J357" s="84">
        <v>2</v>
      </c>
      <c r="K357" s="84">
        <v>1</v>
      </c>
      <c r="L357" s="84">
        <v>0</v>
      </c>
      <c r="M357" s="84">
        <v>3</v>
      </c>
      <c r="N357" s="84">
        <v>2.6</v>
      </c>
      <c r="O357" s="84">
        <v>93</v>
      </c>
      <c r="P357" s="84">
        <v>2</v>
      </c>
      <c r="Q357" s="84">
        <v>3.9</v>
      </c>
      <c r="R357" s="84">
        <v>7.6</v>
      </c>
      <c r="S357" s="84">
        <v>9.6</v>
      </c>
      <c r="T357" s="84">
        <v>8.8000000000000007</v>
      </c>
      <c r="U357" s="84">
        <v>1.9</v>
      </c>
      <c r="V357" s="84">
        <v>5.4</v>
      </c>
      <c r="W357" s="84">
        <v>-1.4</v>
      </c>
      <c r="X357" s="84">
        <v>-0.5</v>
      </c>
      <c r="Y357" s="84">
        <v>0.5</v>
      </c>
      <c r="Z357" s="84">
        <v>1</v>
      </c>
    </row>
    <row r="358" spans="1:26">
      <c r="A358" s="78">
        <f t="shared" si="49"/>
        <v>45647</v>
      </c>
      <c r="B358" s="84">
        <v>29.74</v>
      </c>
      <c r="C358" s="84">
        <v>1007.1</v>
      </c>
      <c r="D358" s="84">
        <v>73.900000000000006</v>
      </c>
      <c r="E358" s="84">
        <v>1011.7</v>
      </c>
      <c r="F358" s="84">
        <v>8</v>
      </c>
      <c r="G358" s="84">
        <v>20</v>
      </c>
      <c r="H358" s="84">
        <v>14</v>
      </c>
      <c r="I358" s="84">
        <v>5</v>
      </c>
      <c r="J358" s="84">
        <v>2</v>
      </c>
      <c r="K358" s="84">
        <v>1</v>
      </c>
      <c r="L358" s="84">
        <v>0</v>
      </c>
      <c r="M358" s="84">
        <v>8.8000000000000007</v>
      </c>
      <c r="N358" s="84">
        <v>7.8</v>
      </c>
      <c r="O358" s="84">
        <v>86</v>
      </c>
      <c r="P358" s="84">
        <v>6.7</v>
      </c>
      <c r="Q358" s="84">
        <v>5.5</v>
      </c>
      <c r="R358" s="84">
        <v>7</v>
      </c>
      <c r="S358" s="84">
        <v>9.5</v>
      </c>
      <c r="T358" s="84">
        <v>12.5</v>
      </c>
      <c r="U358" s="84">
        <v>3</v>
      </c>
      <c r="V358" s="84">
        <v>7.8</v>
      </c>
      <c r="W358" s="84">
        <v>-0.1</v>
      </c>
      <c r="X358" s="84">
        <v>0.9</v>
      </c>
      <c r="Y358" s="84">
        <v>2.1</v>
      </c>
      <c r="Z358" s="84">
        <v>0.7</v>
      </c>
    </row>
    <row r="359" spans="1:26">
      <c r="A359" s="78">
        <f t="shared" si="49"/>
        <v>45648</v>
      </c>
      <c r="B359" s="84">
        <v>29.556000000000001</v>
      </c>
      <c r="C359" s="84">
        <v>1000.9</v>
      </c>
      <c r="D359" s="84">
        <v>75.2</v>
      </c>
      <c r="E359" s="84">
        <v>1005.5</v>
      </c>
      <c r="F359" s="84">
        <v>5</v>
      </c>
      <c r="G359" s="84">
        <v>14</v>
      </c>
      <c r="H359" s="84">
        <v>9.8000000000000007</v>
      </c>
      <c r="I359" s="84">
        <v>8</v>
      </c>
      <c r="J359" s="84">
        <v>3</v>
      </c>
      <c r="K359" s="84">
        <v>1</v>
      </c>
      <c r="L359" s="84">
        <v>0</v>
      </c>
      <c r="M359" s="84">
        <v>4.4000000000000004</v>
      </c>
      <c r="N359" s="84">
        <v>2.6</v>
      </c>
      <c r="O359" s="84">
        <v>71</v>
      </c>
      <c r="P359" s="84">
        <v>-0.4</v>
      </c>
      <c r="Q359" s="84">
        <v>4.9000000000000004</v>
      </c>
      <c r="R359" s="84">
        <v>7.1</v>
      </c>
      <c r="S359" s="84">
        <v>9.3000000000000007</v>
      </c>
      <c r="T359" s="84">
        <v>6.6</v>
      </c>
      <c r="U359" s="84">
        <v>3</v>
      </c>
      <c r="V359" s="84">
        <v>4.8</v>
      </c>
      <c r="W359" s="84">
        <v>0.2</v>
      </c>
      <c r="X359" s="84">
        <v>1</v>
      </c>
      <c r="Y359" s="84">
        <v>0.2</v>
      </c>
      <c r="Z359" s="84">
        <v>2</v>
      </c>
    </row>
    <row r="360" spans="1:26">
      <c r="A360" s="78">
        <f t="shared" si="49"/>
        <v>45649</v>
      </c>
      <c r="B360" s="84">
        <v>30.143000000000001</v>
      </c>
      <c r="C360" s="84">
        <v>1020.8</v>
      </c>
      <c r="D360" s="84">
        <v>79.2</v>
      </c>
      <c r="E360" s="84">
        <v>1025.2</v>
      </c>
      <c r="F360" s="84">
        <v>5</v>
      </c>
      <c r="G360" s="84">
        <v>9</v>
      </c>
      <c r="H360" s="84">
        <v>6.3</v>
      </c>
      <c r="I360" s="84">
        <v>8</v>
      </c>
      <c r="J360" s="84">
        <v>2</v>
      </c>
      <c r="K360" s="84">
        <v>1</v>
      </c>
      <c r="L360" s="84">
        <v>0</v>
      </c>
      <c r="M360" s="84">
        <v>3.9</v>
      </c>
      <c r="N360" s="84">
        <v>2.9</v>
      </c>
      <c r="O360" s="84">
        <v>83</v>
      </c>
      <c r="P360" s="84">
        <v>1.3</v>
      </c>
      <c r="Q360" s="84">
        <v>3.3</v>
      </c>
      <c r="R360" s="84">
        <v>6.3</v>
      </c>
      <c r="S360" s="84">
        <v>9.3000000000000007</v>
      </c>
      <c r="T360" s="84">
        <v>9.6</v>
      </c>
      <c r="U360" s="84">
        <v>2.8</v>
      </c>
      <c r="V360" s="84">
        <v>6.2</v>
      </c>
      <c r="W360" s="84">
        <v>-1.9</v>
      </c>
      <c r="X360" s="84">
        <v>-0.7</v>
      </c>
      <c r="Y360" s="84">
        <v>0.5</v>
      </c>
      <c r="Z360" s="84">
        <v>0</v>
      </c>
    </row>
    <row r="361" spans="1:26">
      <c r="A361" s="78">
        <f t="shared" si="49"/>
        <v>45650</v>
      </c>
      <c r="B361" s="84">
        <v>30.143000000000001</v>
      </c>
      <c r="C361" s="84">
        <v>1020.8</v>
      </c>
      <c r="D361" s="84">
        <v>80.3</v>
      </c>
      <c r="E361" s="84">
        <v>1024.9000000000001</v>
      </c>
      <c r="F361" s="84">
        <v>9</v>
      </c>
      <c r="G361" s="84">
        <v>8</v>
      </c>
      <c r="H361" s="84">
        <v>5.6</v>
      </c>
      <c r="I361" s="84">
        <v>2</v>
      </c>
      <c r="J361" s="84">
        <v>45</v>
      </c>
      <c r="K361" s="84">
        <v>2</v>
      </c>
      <c r="L361" s="84">
        <v>0</v>
      </c>
      <c r="M361" s="84">
        <v>9.6</v>
      </c>
      <c r="N361" s="84">
        <v>9.6</v>
      </c>
      <c r="O361" s="84">
        <v>100</v>
      </c>
      <c r="P361" s="84">
        <v>9.6</v>
      </c>
      <c r="Q361" s="84">
        <v>6.5</v>
      </c>
      <c r="R361" s="84">
        <v>6.5</v>
      </c>
      <c r="S361" s="84">
        <v>9</v>
      </c>
      <c r="T361" s="84">
        <v>11.3</v>
      </c>
      <c r="U361" s="84">
        <v>3.9</v>
      </c>
      <c r="V361" s="84">
        <v>7.6</v>
      </c>
      <c r="W361" s="84">
        <v>1.1000000000000001</v>
      </c>
      <c r="X361" s="84">
        <v>3</v>
      </c>
      <c r="Y361" s="84">
        <v>0.2</v>
      </c>
      <c r="Z361" s="84">
        <v>0</v>
      </c>
    </row>
    <row r="362" spans="1:26">
      <c r="A362" s="78">
        <f t="shared" si="49"/>
        <v>45651</v>
      </c>
      <c r="B362" s="84">
        <v>30.483000000000001</v>
      </c>
      <c r="C362" s="84">
        <v>1032.3</v>
      </c>
      <c r="D362" s="84">
        <v>77.900000000000006</v>
      </c>
      <c r="E362" s="84">
        <v>1036.8</v>
      </c>
      <c r="F362" s="84">
        <v>6</v>
      </c>
      <c r="G362" s="84">
        <v>5</v>
      </c>
      <c r="H362" s="84">
        <v>3.5</v>
      </c>
      <c r="I362" s="84">
        <v>3</v>
      </c>
      <c r="J362" s="84">
        <v>46</v>
      </c>
      <c r="K362" s="84">
        <v>2</v>
      </c>
      <c r="L362" s="84">
        <v>0</v>
      </c>
      <c r="M362" s="84">
        <v>8.3000000000000007</v>
      </c>
      <c r="N362" s="84">
        <v>8.1999999999999993</v>
      </c>
      <c r="O362" s="84">
        <v>99</v>
      </c>
      <c r="P362" s="84">
        <v>8.1</v>
      </c>
      <c r="Q362" s="84">
        <v>8.1</v>
      </c>
      <c r="R362" s="84">
        <v>7.7</v>
      </c>
      <c r="S362" s="84">
        <v>8.9</v>
      </c>
      <c r="T362" s="84">
        <v>9.8000000000000007</v>
      </c>
      <c r="U362" s="84">
        <v>8</v>
      </c>
      <c r="V362" s="84">
        <v>8.9</v>
      </c>
      <c r="W362" s="84">
        <v>7</v>
      </c>
      <c r="X362" s="84">
        <v>8</v>
      </c>
      <c r="Y362" s="84">
        <v>0.4</v>
      </c>
      <c r="Z362" s="84">
        <v>0</v>
      </c>
    </row>
    <row r="363" spans="1:26">
      <c r="A363" s="78">
        <f t="shared" si="49"/>
        <v>45652</v>
      </c>
      <c r="B363" s="84">
        <v>30.456</v>
      </c>
      <c r="C363" s="84">
        <v>1031.4000000000001</v>
      </c>
      <c r="D363" s="84">
        <v>76.900000000000006</v>
      </c>
      <c r="E363" s="84">
        <v>1036</v>
      </c>
      <c r="F363" s="84">
        <v>8</v>
      </c>
      <c r="G363" s="84">
        <v>0</v>
      </c>
      <c r="H363" s="84">
        <v>0</v>
      </c>
      <c r="I363" s="84">
        <v>5</v>
      </c>
      <c r="J363" s="84">
        <v>42</v>
      </c>
      <c r="K363" s="84">
        <v>2</v>
      </c>
      <c r="L363" s="84">
        <v>0</v>
      </c>
      <c r="M363" s="84">
        <v>6.3</v>
      </c>
      <c r="N363" s="84">
        <v>6.3</v>
      </c>
      <c r="O363" s="84">
        <v>100</v>
      </c>
      <c r="P363" s="84">
        <v>6.3</v>
      </c>
      <c r="Q363" s="84">
        <v>8</v>
      </c>
      <c r="R363" s="84">
        <v>8.1999999999999993</v>
      </c>
      <c r="S363" s="84">
        <v>8.9</v>
      </c>
      <c r="T363" s="84">
        <v>6.6</v>
      </c>
      <c r="U363" s="84">
        <v>6</v>
      </c>
      <c r="V363" s="84">
        <v>6.3</v>
      </c>
      <c r="W363" s="84">
        <v>6.8</v>
      </c>
      <c r="X363" s="84">
        <v>8</v>
      </c>
      <c r="Y363" s="84" t="s">
        <v>22</v>
      </c>
      <c r="Z363" s="84">
        <v>0</v>
      </c>
    </row>
    <row r="364" spans="1:26">
      <c r="A364" s="78">
        <f t="shared" si="49"/>
        <v>45653</v>
      </c>
      <c r="B364" s="84">
        <v>30.4</v>
      </c>
      <c r="C364" s="84">
        <v>1029.5</v>
      </c>
      <c r="D364" s="84">
        <v>75.599999999999994</v>
      </c>
      <c r="E364" s="84">
        <v>1034.3</v>
      </c>
      <c r="F364" s="84">
        <v>8</v>
      </c>
      <c r="G364" s="84">
        <v>0</v>
      </c>
      <c r="H364" s="84">
        <v>0</v>
      </c>
      <c r="I364" s="84">
        <v>6</v>
      </c>
      <c r="J364" s="84">
        <v>2</v>
      </c>
      <c r="K364" s="84">
        <v>1</v>
      </c>
      <c r="L364" s="84">
        <v>0</v>
      </c>
      <c r="M364" s="84">
        <v>4.5</v>
      </c>
      <c r="N364" s="84">
        <v>4.5</v>
      </c>
      <c r="O364" s="84">
        <v>100</v>
      </c>
      <c r="P364" s="84">
        <v>4.5</v>
      </c>
      <c r="Q364" s="84">
        <v>6.9</v>
      </c>
      <c r="R364" s="84">
        <v>7</v>
      </c>
      <c r="S364" s="84">
        <v>9</v>
      </c>
      <c r="T364" s="84">
        <v>5.3</v>
      </c>
      <c r="U364" s="84">
        <v>4.3</v>
      </c>
      <c r="V364" s="84">
        <v>4.8</v>
      </c>
      <c r="W364" s="84">
        <v>5.3</v>
      </c>
      <c r="X364" s="84">
        <v>7</v>
      </c>
      <c r="Y364" s="84">
        <v>0.5</v>
      </c>
      <c r="Z364" s="84">
        <v>0</v>
      </c>
    </row>
    <row r="365" spans="1:26">
      <c r="A365" s="78">
        <f t="shared" si="49"/>
        <v>45654</v>
      </c>
      <c r="B365" s="84">
        <v>30.274000000000001</v>
      </c>
      <c r="C365" s="84">
        <v>1025.2</v>
      </c>
      <c r="D365" s="84">
        <v>71.2</v>
      </c>
      <c r="E365" s="84">
        <v>1030.4000000000001</v>
      </c>
      <c r="F365" s="84">
        <v>8</v>
      </c>
      <c r="G365" s="84">
        <v>0</v>
      </c>
      <c r="H365" s="84">
        <v>0</v>
      </c>
      <c r="I365" s="84">
        <v>7</v>
      </c>
      <c r="J365" s="84">
        <v>2</v>
      </c>
      <c r="K365" s="84">
        <v>1</v>
      </c>
      <c r="L365" s="84">
        <v>0</v>
      </c>
      <c r="M365" s="84">
        <v>4.4000000000000004</v>
      </c>
      <c r="N365" s="84">
        <v>4.4000000000000004</v>
      </c>
      <c r="O365" s="84">
        <v>100</v>
      </c>
      <c r="P365" s="84">
        <v>4.4000000000000004</v>
      </c>
      <c r="Q365" s="84">
        <v>6.5</v>
      </c>
      <c r="R365" s="84">
        <v>7.7</v>
      </c>
      <c r="S365" s="84">
        <v>9</v>
      </c>
      <c r="T365" s="84">
        <v>5.9</v>
      </c>
      <c r="U365" s="84">
        <v>4</v>
      </c>
      <c r="V365" s="84">
        <v>5</v>
      </c>
      <c r="W365" s="84">
        <v>5.2</v>
      </c>
      <c r="X365" s="84">
        <v>4.5999999999999996</v>
      </c>
      <c r="Y365" s="84">
        <v>0.1</v>
      </c>
      <c r="Z365" s="84">
        <v>0</v>
      </c>
    </row>
    <row r="366" spans="1:26">
      <c r="A366" s="78">
        <f t="shared" si="49"/>
        <v>45655</v>
      </c>
      <c r="B366" s="84">
        <v>30.314</v>
      </c>
      <c r="C366" s="84">
        <v>1026.5</v>
      </c>
      <c r="D366" s="84">
        <v>70.599999999999994</v>
      </c>
      <c r="E366" s="84">
        <v>1031.8</v>
      </c>
      <c r="F366" s="84">
        <v>8</v>
      </c>
      <c r="G366" s="84">
        <v>0</v>
      </c>
      <c r="H366" s="84">
        <v>0</v>
      </c>
      <c r="I366" s="84">
        <v>3</v>
      </c>
      <c r="J366" s="84">
        <v>45</v>
      </c>
      <c r="K366" s="84">
        <v>1</v>
      </c>
      <c r="L366" s="84">
        <v>0</v>
      </c>
      <c r="M366" s="84">
        <v>4.5</v>
      </c>
      <c r="N366" s="84">
        <v>4.4000000000000004</v>
      </c>
      <c r="O366" s="84">
        <v>98</v>
      </c>
      <c r="P366" s="84">
        <v>4.3</v>
      </c>
      <c r="Q366" s="84">
        <v>5.9</v>
      </c>
      <c r="R366" s="84">
        <v>7.4</v>
      </c>
      <c r="S366" s="84">
        <v>8.9</v>
      </c>
      <c r="T366" s="84">
        <v>8.9</v>
      </c>
      <c r="U366" s="84">
        <v>2.2000000000000002</v>
      </c>
      <c r="V366" s="84">
        <v>5.6</v>
      </c>
      <c r="W366" s="84">
        <v>3.8</v>
      </c>
      <c r="X366" s="84">
        <v>3.1</v>
      </c>
      <c r="Y366" s="84" t="s">
        <v>22</v>
      </c>
      <c r="Z366" s="84">
        <v>0</v>
      </c>
    </row>
    <row r="367" spans="1:26">
      <c r="A367" s="78">
        <f t="shared" si="49"/>
        <v>45656</v>
      </c>
      <c r="B367" s="84">
        <v>30.207999999999998</v>
      </c>
      <c r="C367" s="84">
        <v>1023</v>
      </c>
      <c r="D367" s="84">
        <v>70.599999999999994</v>
      </c>
      <c r="E367" s="84">
        <v>1028.0999999999999</v>
      </c>
      <c r="F367" s="84">
        <v>8</v>
      </c>
      <c r="G367" s="84">
        <v>6</v>
      </c>
      <c r="H367" s="84">
        <v>4.2</v>
      </c>
      <c r="I367" s="84">
        <v>8</v>
      </c>
      <c r="J367" s="84">
        <v>2</v>
      </c>
      <c r="K367" s="84">
        <v>1</v>
      </c>
      <c r="L367" s="84">
        <v>0</v>
      </c>
      <c r="M367" s="84">
        <v>7.4</v>
      </c>
      <c r="N367" s="84">
        <v>5.7</v>
      </c>
      <c r="O367" s="84">
        <v>76</v>
      </c>
      <c r="P367" s="84">
        <v>3.4</v>
      </c>
      <c r="Q367" s="84">
        <v>6.9</v>
      </c>
      <c r="R367" s="84">
        <v>7.5</v>
      </c>
      <c r="S367" s="84">
        <v>8.9</v>
      </c>
      <c r="T367" s="84">
        <v>9</v>
      </c>
      <c r="U367" s="84">
        <v>4.2</v>
      </c>
      <c r="V367" s="84">
        <v>6.6</v>
      </c>
      <c r="W367" s="84">
        <v>1.9</v>
      </c>
      <c r="X367" s="84">
        <v>3.5</v>
      </c>
      <c r="Y367" s="84" t="s">
        <v>22</v>
      </c>
      <c r="Z367" s="84">
        <v>0</v>
      </c>
    </row>
    <row r="368" spans="1:26">
      <c r="A368" s="78">
        <f t="shared" si="49"/>
        <v>45657</v>
      </c>
      <c r="B368" s="84">
        <v>30.018000000000001</v>
      </c>
      <c r="C368" s="84">
        <v>1016.5</v>
      </c>
      <c r="D368" s="84">
        <v>69.8</v>
      </c>
      <c r="E368" s="84">
        <v>1021.6</v>
      </c>
      <c r="F368" s="84">
        <v>7</v>
      </c>
      <c r="G368" s="84">
        <v>12</v>
      </c>
      <c r="H368" s="84">
        <v>8.4</v>
      </c>
      <c r="I368" s="84">
        <v>8</v>
      </c>
      <c r="J368" s="84">
        <v>2</v>
      </c>
      <c r="K368" s="84">
        <v>1</v>
      </c>
      <c r="L368" s="84">
        <v>0</v>
      </c>
      <c r="M368" s="84">
        <v>9</v>
      </c>
      <c r="N368" s="84">
        <v>7.3</v>
      </c>
      <c r="O368" s="84">
        <v>77</v>
      </c>
      <c r="P368" s="84">
        <v>5.2</v>
      </c>
      <c r="Q368" s="84">
        <v>6.9</v>
      </c>
      <c r="R368" s="84">
        <v>7.7</v>
      </c>
      <c r="S368" s="84">
        <v>8.9</v>
      </c>
      <c r="T368" s="84">
        <v>12.3</v>
      </c>
      <c r="U368" s="84">
        <v>6.9</v>
      </c>
      <c r="V368" s="84">
        <v>9.6</v>
      </c>
      <c r="W368" s="84">
        <v>4.0999999999999996</v>
      </c>
      <c r="X368" s="84">
        <v>5.3</v>
      </c>
      <c r="Y368" s="84" t="s">
        <v>22</v>
      </c>
      <c r="Z368" s="84">
        <v>0</v>
      </c>
    </row>
    <row r="369" spans="1:33">
      <c r="A369" s="78"/>
    </row>
    <row r="370" spans="1:33" ht="38.25">
      <c r="A370" s="47"/>
      <c r="B370" s="76" t="s">
        <v>23</v>
      </c>
      <c r="C370" s="76"/>
      <c r="D370" s="48" t="s">
        <v>24</v>
      </c>
      <c r="E370" s="48" t="s">
        <v>25</v>
      </c>
      <c r="F370" s="48" t="s">
        <v>26</v>
      </c>
      <c r="G370" s="48" t="s">
        <v>27</v>
      </c>
      <c r="H370" s="48" t="s">
        <v>28</v>
      </c>
      <c r="I370" s="48" t="s">
        <v>29</v>
      </c>
      <c r="J370" s="48" t="s">
        <v>30</v>
      </c>
      <c r="K370" s="48" t="s">
        <v>31</v>
      </c>
      <c r="L370" s="48" t="s">
        <v>32</v>
      </c>
      <c r="M370" s="48" t="s">
        <v>33</v>
      </c>
      <c r="N370" s="48" t="s">
        <v>34</v>
      </c>
      <c r="O370" s="48" t="s">
        <v>35</v>
      </c>
      <c r="P370" s="48" t="s">
        <v>36</v>
      </c>
      <c r="Q370" s="48" t="s">
        <v>37</v>
      </c>
      <c r="R370" s="48" t="s">
        <v>38</v>
      </c>
      <c r="S370" s="48" t="s">
        <v>39</v>
      </c>
      <c r="T370" s="48" t="s">
        <v>40</v>
      </c>
      <c r="U370" s="48" t="s">
        <v>41</v>
      </c>
      <c r="V370" s="48" t="s">
        <v>42</v>
      </c>
      <c r="W370" s="48" t="s">
        <v>43</v>
      </c>
      <c r="X370" s="48" t="s">
        <v>44</v>
      </c>
      <c r="Y370" s="48" t="s">
        <v>45</v>
      </c>
      <c r="Z370" s="48" t="s">
        <v>46</v>
      </c>
    </row>
    <row r="371" spans="1:33">
      <c r="A371" s="49"/>
      <c r="B371" s="50" t="s">
        <v>48</v>
      </c>
      <c r="C371" s="50" t="s">
        <v>49</v>
      </c>
      <c r="D371" s="50" t="s">
        <v>50</v>
      </c>
      <c r="E371" s="50" t="s">
        <v>49</v>
      </c>
      <c r="F371" s="50" t="s">
        <v>51</v>
      </c>
      <c r="G371" s="50" t="s">
        <v>52</v>
      </c>
      <c r="H371" s="50" t="s">
        <v>52</v>
      </c>
      <c r="I371" s="50" t="s">
        <v>53</v>
      </c>
      <c r="J371" s="50" t="s">
        <v>54</v>
      </c>
      <c r="K371" s="50" t="s">
        <v>53</v>
      </c>
      <c r="L371" s="50" t="s">
        <v>55</v>
      </c>
      <c r="M371" s="50" t="s">
        <v>56</v>
      </c>
      <c r="N371" s="50" t="s">
        <v>56</v>
      </c>
      <c r="O371" s="50" t="s">
        <v>57</v>
      </c>
      <c r="P371" s="50" t="s">
        <v>56</v>
      </c>
      <c r="Q371" s="50" t="s">
        <v>56</v>
      </c>
      <c r="R371" s="50" t="s">
        <v>56</v>
      </c>
      <c r="S371" s="50" t="s">
        <v>56</v>
      </c>
      <c r="T371" s="50" t="s">
        <v>56</v>
      </c>
      <c r="U371" s="50" t="s">
        <v>56</v>
      </c>
      <c r="V371" s="50" t="s">
        <v>56</v>
      </c>
      <c r="W371" s="50" t="s">
        <v>56</v>
      </c>
      <c r="X371" s="50" t="s">
        <v>56</v>
      </c>
      <c r="Y371" s="50" t="s">
        <v>58</v>
      </c>
      <c r="Z371" s="50" t="s">
        <v>59</v>
      </c>
    </row>
    <row r="372" spans="1:33">
      <c r="A372" s="105" t="s">
        <v>100</v>
      </c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6">
        <f>SUM(Y3:Y368)</f>
        <v>916.14999999999986</v>
      </c>
      <c r="Z372" s="106">
        <f>SUM(Z3:Z368)</f>
        <v>1520.8000000000006</v>
      </c>
    </row>
    <row r="373" spans="1:33">
      <c r="A373" s="105" t="s">
        <v>101</v>
      </c>
      <c r="B373" s="103">
        <f>AVERAGE(B3:B368)</f>
        <v>29.817316939890702</v>
      </c>
      <c r="C373" s="104">
        <f>AVERAGE(C3:C368)</f>
        <v>1009.7321424153005</v>
      </c>
      <c r="D373" s="104">
        <f>AVERAGE(D338:D368)</f>
        <v>73.932258064516134</v>
      </c>
      <c r="E373" s="104">
        <f>AVERAGE(E3:E368)</f>
        <v>1014.356512007055</v>
      </c>
      <c r="F373" s="104">
        <f>AVERAGE(F3:F368)</f>
        <v>5.8551912568306008</v>
      </c>
      <c r="G373" s="104">
        <f>AVERAGE(G3:G368)</f>
        <v>8.4863387978142075</v>
      </c>
      <c r="H373" s="104">
        <f>AVERAGE(H3:H368)</f>
        <v>5.9404371584699449</v>
      </c>
      <c r="I373" s="104"/>
      <c r="J373" s="104"/>
      <c r="K373" s="104"/>
      <c r="L373" s="104"/>
      <c r="M373" s="104">
        <f t="shared" ref="M373:Z373" si="50">AVERAGE(M3:M368)</f>
        <v>11.78797814207651</v>
      </c>
      <c r="N373" s="104">
        <f t="shared" si="50"/>
        <v>9.9450819672131132</v>
      </c>
      <c r="O373" s="107">
        <f t="shared" si="50"/>
        <v>79.497808517301337</v>
      </c>
      <c r="P373" s="104">
        <f t="shared" si="50"/>
        <v>8.1104325732134566</v>
      </c>
      <c r="Q373" s="108">
        <f t="shared" si="50"/>
        <v>12.329824561403507</v>
      </c>
      <c r="R373" s="108">
        <f t="shared" si="50"/>
        <v>12.74617486338798</v>
      </c>
      <c r="S373" s="108">
        <f t="shared" si="50"/>
        <v>12.817759562841529</v>
      </c>
      <c r="T373" s="104">
        <f t="shared" si="50"/>
        <v>15.430054644808747</v>
      </c>
      <c r="U373" s="104">
        <f t="shared" si="50"/>
        <v>8.0125683060109267</v>
      </c>
      <c r="V373" s="104">
        <f t="shared" si="50"/>
        <v>11.728688524590165</v>
      </c>
      <c r="W373" s="104">
        <f t="shared" si="50"/>
        <v>5.9428961748633906</v>
      </c>
      <c r="X373" s="104">
        <f t="shared" si="50"/>
        <v>7.2991803278688598</v>
      </c>
      <c r="Y373" s="104">
        <f t="shared" si="50"/>
        <v>3.343613138686131</v>
      </c>
      <c r="Z373" s="109">
        <f t="shared" si="50"/>
        <v>4.1551912568306024</v>
      </c>
    </row>
    <row r="374" spans="1:33">
      <c r="A374" s="105" t="s">
        <v>102</v>
      </c>
      <c r="B374" s="103">
        <f>MAX(B3:B368)</f>
        <v>30.521999999999998</v>
      </c>
      <c r="C374" s="104">
        <f>MAX(C3:C368)</f>
        <v>1033.5933453600001</v>
      </c>
      <c r="D374" s="104">
        <f>MAX(D3:D368)</f>
        <v>82</v>
      </c>
      <c r="E374" s="104">
        <f>MAX(E3:E368)</f>
        <v>1039.1932221061049</v>
      </c>
      <c r="F374" s="104"/>
      <c r="G374" s="104"/>
      <c r="H374" s="104"/>
      <c r="I374" s="107">
        <f>MAX(I3:I368)</f>
        <v>8</v>
      </c>
      <c r="J374" s="104"/>
      <c r="K374" s="104"/>
      <c r="L374" s="107">
        <f t="shared" ref="L374:Z374" si="51">MAX(L3:L368)</f>
        <v>2.8</v>
      </c>
      <c r="M374" s="104">
        <f t="shared" si="51"/>
        <v>26.2</v>
      </c>
      <c r="N374" s="104">
        <f t="shared" si="51"/>
        <v>20.9</v>
      </c>
      <c r="O374" s="107">
        <f t="shared" si="51"/>
        <v>100</v>
      </c>
      <c r="P374" s="104">
        <f t="shared" si="51"/>
        <v>18.346658127799344</v>
      </c>
      <c r="Q374" s="108">
        <f t="shared" si="51"/>
        <v>24.2</v>
      </c>
      <c r="R374" s="108">
        <f t="shared" si="51"/>
        <v>22.1</v>
      </c>
      <c r="S374" s="108">
        <f t="shared" si="51"/>
        <v>19.100000000000001</v>
      </c>
      <c r="T374" s="104">
        <f t="shared" si="51"/>
        <v>30.4</v>
      </c>
      <c r="U374" s="104">
        <f t="shared" si="51"/>
        <v>18.2</v>
      </c>
      <c r="V374" s="104">
        <f t="shared" si="51"/>
        <v>23.7</v>
      </c>
      <c r="W374" s="104">
        <f t="shared" si="51"/>
        <v>17.5</v>
      </c>
      <c r="X374" s="104">
        <f t="shared" si="51"/>
        <v>17.899999999999999</v>
      </c>
      <c r="Y374" s="104">
        <f t="shared" si="51"/>
        <v>77.099999999999994</v>
      </c>
      <c r="Z374" s="104">
        <f t="shared" si="51"/>
        <v>15</v>
      </c>
    </row>
    <row r="375" spans="1:33">
      <c r="A375" s="105" t="s">
        <v>103</v>
      </c>
      <c r="B375" s="103">
        <f>MIN(B3:B368)</f>
        <v>28.716000000000001</v>
      </c>
      <c r="C375" s="104">
        <f>MIN(C3:C368)</f>
        <v>972.43517808000013</v>
      </c>
      <c r="D375" s="104">
        <f>MIN(D3:D368)</f>
        <v>66</v>
      </c>
      <c r="E375" s="104">
        <f>MIN(E3:E368)</f>
        <v>976.50313587974597</v>
      </c>
      <c r="F375" s="104"/>
      <c r="G375" s="104"/>
      <c r="H375" s="104"/>
      <c r="I375" s="107">
        <f>MIN(I3:I368)</f>
        <v>1</v>
      </c>
      <c r="J375" s="104"/>
      <c r="K375" s="104"/>
      <c r="L375" s="104"/>
      <c r="M375" s="104">
        <f t="shared" ref="M375:X375" si="52">MIN(M3:M368)</f>
        <v>-4</v>
      </c>
      <c r="N375" s="104">
        <f t="shared" si="52"/>
        <v>-4.2</v>
      </c>
      <c r="O375" s="107">
        <f t="shared" si="52"/>
        <v>47</v>
      </c>
      <c r="P375" s="104">
        <f t="shared" si="52"/>
        <v>-4.9173977270166782</v>
      </c>
      <c r="Q375" s="108">
        <f t="shared" si="52"/>
        <v>2.2000000000000002</v>
      </c>
      <c r="R375" s="108">
        <f t="shared" si="52"/>
        <v>2</v>
      </c>
      <c r="S375" s="108">
        <f t="shared" si="52"/>
        <v>5.8</v>
      </c>
      <c r="T375" s="104">
        <f t="shared" si="52"/>
        <v>1.7</v>
      </c>
      <c r="U375" s="104">
        <f t="shared" si="52"/>
        <v>-5.2</v>
      </c>
      <c r="V375" s="104">
        <f t="shared" si="52"/>
        <v>-1.25</v>
      </c>
      <c r="W375" s="104">
        <f t="shared" si="52"/>
        <v>-7.8</v>
      </c>
      <c r="X375" s="104">
        <f t="shared" si="52"/>
        <v>-7.8</v>
      </c>
      <c r="Y375" s="104"/>
      <c r="Z375" s="104"/>
    </row>
    <row r="376" spans="1:33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</row>
    <row r="377" spans="1:33">
      <c r="A377" s="102"/>
      <c r="B377" s="102"/>
      <c r="C377" s="102"/>
      <c r="D377" s="102"/>
      <c r="E377" s="102"/>
      <c r="F377" s="102"/>
      <c r="G377" s="102"/>
      <c r="H377" s="102"/>
      <c r="I377" s="110" t="s">
        <v>104</v>
      </c>
      <c r="J377" s="102"/>
      <c r="K377" s="102"/>
      <c r="L377" s="111" t="s">
        <v>105</v>
      </c>
      <c r="M377" s="102"/>
      <c r="N377" s="102"/>
      <c r="O377" s="102"/>
      <c r="P377" s="102"/>
      <c r="Q377" s="102"/>
      <c r="R377" s="102"/>
      <c r="S377" s="102"/>
      <c r="T377" s="102"/>
      <c r="U377" s="110" t="s">
        <v>106</v>
      </c>
      <c r="V377" s="102"/>
      <c r="W377" s="110" t="s">
        <v>107</v>
      </c>
      <c r="X377" s="110"/>
      <c r="Y377" s="110" t="s">
        <v>108</v>
      </c>
      <c r="Z377" s="102"/>
    </row>
    <row r="378" spans="1:33">
      <c r="A378" s="102"/>
      <c r="B378" s="102"/>
      <c r="C378" s="102"/>
      <c r="D378" s="102"/>
      <c r="E378" s="102"/>
      <c r="F378" s="102"/>
      <c r="G378" s="102"/>
      <c r="H378" s="102"/>
      <c r="I378" s="102">
        <f>COUNTIF(I3:I368,"&lt;4")</f>
        <v>8</v>
      </c>
      <c r="J378" s="102"/>
      <c r="K378" s="102"/>
      <c r="L378" s="112">
        <f>COUNTIF(L3:L368,"&gt;0")</f>
        <v>1</v>
      </c>
      <c r="M378" s="102"/>
      <c r="N378" s="102"/>
      <c r="O378" s="102"/>
      <c r="P378" s="102"/>
      <c r="Q378" s="102"/>
      <c r="R378" s="102"/>
      <c r="S378" s="102"/>
      <c r="T378" s="102"/>
      <c r="U378" s="102">
        <f>COUNTIF(U3:U368,"&lt;0")</f>
        <v>15</v>
      </c>
      <c r="V378" s="102"/>
      <c r="W378" s="102">
        <f>COUNTIF(W3:W368,"&lt;0")</f>
        <v>45</v>
      </c>
      <c r="X378" s="102"/>
      <c r="Y378" s="102">
        <f>COUNTIF(Y3:Y368,"&gt;1")</f>
        <v>114</v>
      </c>
      <c r="Z378" s="102"/>
    </row>
    <row r="382" spans="1:33">
      <c r="H382" s="28"/>
      <c r="I382" s="77"/>
      <c r="J382" s="77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</row>
    <row r="383" spans="1:33">
      <c r="H383" s="51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</row>
  </sheetData>
  <mergeCells count="3">
    <mergeCell ref="B1:C1"/>
    <mergeCell ref="B370:C370"/>
    <mergeCell ref="I382:J382"/>
  </mergeCells>
  <conditionalFormatting sqref="E3:E33">
    <cfRule type="cellIs" dxfId="94" priority="85" operator="equal">
      <formula>$E$43</formula>
    </cfRule>
    <cfRule type="cellIs" dxfId="93" priority="86" operator="equal">
      <formula>$E$42</formula>
    </cfRule>
  </conditionalFormatting>
  <conditionalFormatting sqref="E34:E62">
    <cfRule type="cellIs" dxfId="92" priority="72" operator="equal">
      <formula>$E$40</formula>
    </cfRule>
    <cfRule type="cellIs" dxfId="91" priority="71" operator="equal">
      <formula>$E$41</formula>
    </cfRule>
  </conditionalFormatting>
  <conditionalFormatting sqref="E63:E93">
    <cfRule type="cellIs" dxfId="90" priority="62" operator="equal">
      <formula>$E$42</formula>
    </cfRule>
    <cfRule type="cellIs" dxfId="89" priority="61" operator="equal">
      <formula>$E$43</formula>
    </cfRule>
  </conditionalFormatting>
  <conditionalFormatting sqref="E124:E154">
    <cfRule type="cellIs" dxfId="88" priority="50" operator="equal">
      <formula>$E$42</formula>
    </cfRule>
    <cfRule type="cellIs" dxfId="87" priority="49" operator="equal">
      <formula>$E$43</formula>
    </cfRule>
  </conditionalFormatting>
  <conditionalFormatting sqref="E185:E246">
    <cfRule type="cellIs" dxfId="86" priority="34" operator="equal">
      <formula>$E$42</formula>
    </cfRule>
    <cfRule type="cellIs" dxfId="85" priority="33" operator="equal">
      <formula>$E$43</formula>
    </cfRule>
  </conditionalFormatting>
  <conditionalFormatting sqref="E247:E276">
    <cfRule type="cellIs" dxfId="84" priority="19" operator="equal">
      <formula>$E$42</formula>
    </cfRule>
    <cfRule type="cellIs" dxfId="83" priority="20" operator="equal">
      <formula>$E$41</formula>
    </cfRule>
  </conditionalFormatting>
  <conditionalFormatting sqref="E277:E337">
    <cfRule type="cellIs" dxfId="82" priority="5" operator="equal">
      <formula>$E$43</formula>
    </cfRule>
    <cfRule type="cellIs" dxfId="81" priority="6" operator="equal">
      <formula>$E$42</formula>
    </cfRule>
  </conditionalFormatting>
  <conditionalFormatting sqref="T3:T33">
    <cfRule type="cellIs" dxfId="80" priority="88" operator="equal">
      <formula>$T$42</formula>
    </cfRule>
    <cfRule type="cellIs" dxfId="79" priority="87" operator="equal">
      <formula>$T$43</formula>
    </cfRule>
  </conditionalFormatting>
  <conditionalFormatting sqref="T34:T62">
    <cfRule type="cellIs" dxfId="78" priority="74" operator="equal">
      <formula>$T$40</formula>
    </cfRule>
    <cfRule type="cellIs" dxfId="77" priority="73" operator="equal">
      <formula>$T$41</formula>
    </cfRule>
  </conditionalFormatting>
  <conditionalFormatting sqref="T63:T93 T228:T229 T231:T246 T322:T337">
    <cfRule type="cellIs" dxfId="76" priority="70" operator="equal">
      <formula>$T$42</formula>
    </cfRule>
    <cfRule type="cellIs" dxfId="75" priority="69" operator="equal">
      <formula>$T$43</formula>
    </cfRule>
  </conditionalFormatting>
  <conditionalFormatting sqref="T124:T154">
    <cfRule type="cellIs" dxfId="74" priority="56" operator="equal">
      <formula>$T$42</formula>
    </cfRule>
    <cfRule type="cellIs" dxfId="73" priority="55" operator="equal">
      <formula>$T$43</formula>
    </cfRule>
  </conditionalFormatting>
  <conditionalFormatting sqref="T185:T226">
    <cfRule type="cellIs" dxfId="72" priority="42" operator="equal">
      <formula>$T$42</formula>
    </cfRule>
    <cfRule type="cellIs" dxfId="71" priority="41" operator="equal">
      <formula>$T$43</formula>
    </cfRule>
  </conditionalFormatting>
  <conditionalFormatting sqref="T247:T276">
    <cfRule type="cellIs" dxfId="70" priority="27" operator="equal">
      <formula>$T$42</formula>
    </cfRule>
    <cfRule type="cellIs" dxfId="69" priority="28" operator="equal">
      <formula>$T$41</formula>
    </cfRule>
  </conditionalFormatting>
  <conditionalFormatting sqref="T277:T320">
    <cfRule type="cellIs" dxfId="68" priority="13" operator="equal">
      <formula>$T$43</formula>
    </cfRule>
    <cfRule type="cellIs" dxfId="67" priority="14" operator="equal">
      <formula>$T$42</formula>
    </cfRule>
  </conditionalFormatting>
  <conditionalFormatting sqref="U3:U33">
    <cfRule type="cellIs" dxfId="66" priority="90" operator="equal">
      <formula>$U$42</formula>
    </cfRule>
    <cfRule type="cellIs" dxfId="65" priority="89" operator="equal">
      <formula>$U$43</formula>
    </cfRule>
  </conditionalFormatting>
  <conditionalFormatting sqref="U34:U62">
    <cfRule type="cellIs" dxfId="64" priority="75" operator="equal">
      <formula>$U$41</formula>
    </cfRule>
    <cfRule type="cellIs" dxfId="63" priority="76" operator="equal">
      <formula>$U$40</formula>
    </cfRule>
  </conditionalFormatting>
  <conditionalFormatting sqref="U63:U93 U229:U246">
    <cfRule type="cellIs" dxfId="62" priority="67" operator="equal">
      <formula>$U$43</formula>
    </cfRule>
    <cfRule type="cellIs" dxfId="61" priority="68" operator="equal">
      <formula>$U$42</formula>
    </cfRule>
  </conditionalFormatting>
  <conditionalFormatting sqref="U124:U154">
    <cfRule type="cellIs" dxfId="60" priority="54" operator="equal">
      <formula>$U$42</formula>
    </cfRule>
    <cfRule type="cellIs" dxfId="59" priority="53" operator="equal">
      <formula>$U$43</formula>
    </cfRule>
  </conditionalFormatting>
  <conditionalFormatting sqref="U185:U227">
    <cfRule type="cellIs" dxfId="58" priority="39" operator="equal">
      <formula>$U$43</formula>
    </cfRule>
    <cfRule type="cellIs" dxfId="57" priority="40" operator="equal">
      <formula>$U$42</formula>
    </cfRule>
  </conditionalFormatting>
  <conditionalFormatting sqref="U247:U276">
    <cfRule type="cellIs" dxfId="56" priority="26" operator="equal">
      <formula>$U$41</formula>
    </cfRule>
    <cfRule type="cellIs" dxfId="55" priority="25" operator="equal">
      <formula>$U$42</formula>
    </cfRule>
  </conditionalFormatting>
  <conditionalFormatting sqref="U277:U337">
    <cfRule type="cellIs" dxfId="54" priority="12" operator="equal">
      <formula>$U$42</formula>
    </cfRule>
    <cfRule type="cellIs" dxfId="53" priority="11" operator="equal">
      <formula>$U$43</formula>
    </cfRule>
  </conditionalFormatting>
  <conditionalFormatting sqref="V3:V33">
    <cfRule type="cellIs" dxfId="52" priority="91" operator="equal">
      <formula>$V$43</formula>
    </cfRule>
    <cfRule type="cellIs" dxfId="51" priority="92" operator="equal">
      <formula>$V$42</formula>
    </cfRule>
  </conditionalFormatting>
  <conditionalFormatting sqref="V34:V62">
    <cfRule type="cellIs" dxfId="50" priority="77" operator="equal">
      <formula>$V$41</formula>
    </cfRule>
    <cfRule type="cellIs" dxfId="49" priority="78" operator="equal">
      <formula>$V$40</formula>
    </cfRule>
  </conditionalFormatting>
  <conditionalFormatting sqref="V63:V93">
    <cfRule type="cellIs" dxfId="48" priority="65" operator="equal">
      <formula>$V$43</formula>
    </cfRule>
    <cfRule type="cellIs" dxfId="47" priority="66" operator="equal">
      <formula>$V$42</formula>
    </cfRule>
  </conditionalFormatting>
  <conditionalFormatting sqref="V124:V154">
    <cfRule type="cellIs" dxfId="46" priority="43" operator="equal">
      <formula>$V$42</formula>
    </cfRule>
    <cfRule type="cellIs" dxfId="45" priority="44" operator="equal">
      <formula>$V$41</formula>
    </cfRule>
  </conditionalFormatting>
  <conditionalFormatting sqref="V185:V246">
    <cfRule type="cellIs" dxfId="44" priority="37" operator="equal">
      <formula>$V$43</formula>
    </cfRule>
    <cfRule type="cellIs" dxfId="43" priority="38" operator="equal">
      <formula>$V$42</formula>
    </cfRule>
  </conditionalFormatting>
  <conditionalFormatting sqref="V247:V276">
    <cfRule type="cellIs" dxfId="42" priority="24" operator="equal">
      <formula>$V$41</formula>
    </cfRule>
    <cfRule type="cellIs" dxfId="41" priority="23" operator="equal">
      <formula>$V$42</formula>
    </cfRule>
  </conditionalFormatting>
  <conditionalFormatting sqref="V277:V337">
    <cfRule type="cellIs" dxfId="40" priority="10" operator="equal">
      <formula>$V$42</formula>
    </cfRule>
    <cfRule type="cellIs" dxfId="39" priority="9" operator="equal">
      <formula>$V$43</formula>
    </cfRule>
  </conditionalFormatting>
  <conditionalFormatting sqref="W3:W33">
    <cfRule type="cellIs" dxfId="38" priority="93" operator="equal">
      <formula>$W$43</formula>
    </cfRule>
  </conditionalFormatting>
  <conditionalFormatting sqref="W34:W62">
    <cfRule type="cellIs" dxfId="37" priority="79" operator="equal">
      <formula>$W$40</formula>
    </cfRule>
    <cfRule type="cellIs" dxfId="36" priority="80" operator="equal">
      <formula>$W$41</formula>
    </cfRule>
  </conditionalFormatting>
  <conditionalFormatting sqref="W63:W93 W229:W246">
    <cfRule type="cellIs" dxfId="35" priority="60" operator="equal">
      <formula>$W$43</formula>
    </cfRule>
    <cfRule type="cellIs" dxfId="34" priority="57" operator="equal">
      <formula>$W$42</formula>
    </cfRule>
  </conditionalFormatting>
  <conditionalFormatting sqref="W124:W154">
    <cfRule type="cellIs" dxfId="33" priority="48" operator="equal">
      <formula>$W$43</formula>
    </cfRule>
    <cfRule type="cellIs" dxfId="32" priority="45" operator="equal">
      <formula>$W$42</formula>
    </cfRule>
  </conditionalFormatting>
  <conditionalFormatting sqref="W185:W227">
    <cfRule type="cellIs" dxfId="31" priority="32" operator="equal">
      <formula>$W$43</formula>
    </cfRule>
    <cfRule type="cellIs" dxfId="30" priority="29" operator="equal">
      <formula>$W$42</formula>
    </cfRule>
  </conditionalFormatting>
  <conditionalFormatting sqref="W247:W276">
    <cfRule type="cellIs" dxfId="29" priority="18" operator="equal">
      <formula>$W$42</formula>
    </cfRule>
    <cfRule type="cellIs" dxfId="28" priority="15" operator="equal">
      <formula>$W$41</formula>
    </cfRule>
  </conditionalFormatting>
  <conditionalFormatting sqref="W277:W337 X330">
    <cfRule type="cellIs" dxfId="27" priority="1" operator="equal">
      <formula>$W$42</formula>
    </cfRule>
  </conditionalFormatting>
  <conditionalFormatting sqref="X34:X62">
    <cfRule type="cellIs" dxfId="26" priority="81" operator="equal">
      <formula>$X$41</formula>
    </cfRule>
    <cfRule type="cellIs" dxfId="25" priority="82" operator="equal">
      <formula>$X$40</formula>
    </cfRule>
  </conditionalFormatting>
  <conditionalFormatting sqref="X63:X93 X229:X230 X232:X246">
    <cfRule type="cellIs" dxfId="24" priority="58" operator="equal">
      <formula>$X$43</formula>
    </cfRule>
    <cfRule type="cellIs" dxfId="23" priority="59" operator="equal">
      <formula>$X$42</formula>
    </cfRule>
  </conditionalFormatting>
  <conditionalFormatting sqref="X124:X154">
    <cfRule type="cellIs" dxfId="22" priority="47" operator="equal">
      <formula>$X$42</formula>
    </cfRule>
    <cfRule type="cellIs" dxfId="21" priority="46" operator="equal">
      <formula>$X$43</formula>
    </cfRule>
  </conditionalFormatting>
  <conditionalFormatting sqref="X185:X227">
    <cfRule type="cellIs" dxfId="20" priority="31" operator="equal">
      <formula>$X$42</formula>
    </cfRule>
    <cfRule type="cellIs" dxfId="19" priority="30" operator="equal">
      <formula>$X$43</formula>
    </cfRule>
  </conditionalFormatting>
  <conditionalFormatting sqref="X247:X276">
    <cfRule type="cellIs" dxfId="18" priority="17" operator="equal">
      <formula>$X$41</formula>
    </cfRule>
    <cfRule type="cellIs" dxfId="17" priority="16" operator="equal">
      <formula>$X$42</formula>
    </cfRule>
  </conditionalFormatting>
  <conditionalFormatting sqref="X277:X337">
    <cfRule type="cellIs" dxfId="16" priority="3" operator="equal">
      <formula>$X$42</formula>
    </cfRule>
    <cfRule type="cellIs" dxfId="15" priority="2" operator="equal">
      <formula>$X$43</formula>
    </cfRule>
  </conditionalFormatting>
  <conditionalFormatting sqref="X330 W277:W337">
    <cfRule type="cellIs" dxfId="14" priority="4" operator="equal">
      <formula>$W$43</formula>
    </cfRule>
  </conditionalFormatting>
  <conditionalFormatting sqref="Y3:Y33">
    <cfRule type="cellIs" dxfId="13" priority="94" operator="equal">
      <formula>$Y$42</formula>
    </cfRule>
  </conditionalFormatting>
  <conditionalFormatting sqref="Y34:Y62">
    <cfRule type="cellIs" dxfId="12" priority="83" operator="equal">
      <formula>$Y$40</formula>
    </cfRule>
  </conditionalFormatting>
  <conditionalFormatting sqref="Y63:Y93 Z139 Y228:Y246">
    <cfRule type="cellIs" dxfId="11" priority="64" operator="equal">
      <formula>$Y$42</formula>
    </cfRule>
  </conditionalFormatting>
  <conditionalFormatting sqref="Y124:Y154">
    <cfRule type="cellIs" dxfId="10" priority="52" operator="equal">
      <formula>$Y$42</formula>
    </cfRule>
  </conditionalFormatting>
  <conditionalFormatting sqref="Y185:Y226">
    <cfRule type="cellIs" dxfId="9" priority="36" operator="equal">
      <formula>$Y$42</formula>
    </cfRule>
  </conditionalFormatting>
  <conditionalFormatting sqref="Y247:Y276">
    <cfRule type="cellIs" dxfId="8" priority="22" operator="equal">
      <formula>$Y$41</formula>
    </cfRule>
  </conditionalFormatting>
  <conditionalFormatting sqref="Y277:Y337">
    <cfRule type="cellIs" dxfId="7" priority="8" operator="equal">
      <formula>$Y$42</formula>
    </cfRule>
  </conditionalFormatting>
  <conditionalFormatting sqref="Z3:Z14 Z16:Z33">
    <cfRule type="cellIs" dxfId="6" priority="95" operator="equal">
      <formula>$Z$42</formula>
    </cfRule>
  </conditionalFormatting>
  <conditionalFormatting sqref="Z34:Z62">
    <cfRule type="cellIs" dxfId="5" priority="84" operator="equal">
      <formula>$Z$40</formula>
    </cfRule>
  </conditionalFormatting>
  <conditionalFormatting sqref="Z63:Z93">
    <cfRule type="cellIs" dxfId="4" priority="63" operator="equal">
      <formula>$Z$42</formula>
    </cfRule>
  </conditionalFormatting>
  <conditionalFormatting sqref="Z124:Z154">
    <cfRule type="cellIs" dxfId="3" priority="51" operator="equal">
      <formula>$Z$42</formula>
    </cfRule>
  </conditionalFormatting>
  <conditionalFormatting sqref="Z185:Z246">
    <cfRule type="cellIs" dxfId="2" priority="35" operator="equal">
      <formula>$Z$42</formula>
    </cfRule>
  </conditionalFormatting>
  <conditionalFormatting sqref="Z247:Z276">
    <cfRule type="cellIs" dxfId="1" priority="21" operator="equal">
      <formula>$Z$41</formula>
    </cfRule>
  </conditionalFormatting>
  <conditionalFormatting sqref="Z277:Z337">
    <cfRule type="cellIs" dxfId="0" priority="7" operator="equal">
      <formula>$Z$42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Daily_data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rms</dc:creator>
  <cp:keywords/>
  <dc:description/>
  <cp:lastModifiedBy>Charlie Knight</cp:lastModifiedBy>
  <cp:revision/>
  <dcterms:created xsi:type="dcterms:W3CDTF">2002-01-24T13:32:30Z</dcterms:created>
  <dcterms:modified xsi:type="dcterms:W3CDTF">2025-01-21T14:57:07Z</dcterms:modified>
  <cp:category/>
  <cp:contentStatus/>
</cp:coreProperties>
</file>