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https://d.docs.live.net/b5b23bae1f538ad6/Documents/DPhil/Radcliffe Met/"/>
    </mc:Choice>
  </mc:AlternateContent>
  <xr:revisionPtr revIDLastSave="549" documentId="8_{D982823C-20A8-4294-8027-312DE9BF7ED6}" xr6:coauthVersionLast="47" xr6:coauthVersionMax="47" xr10:uidLastSave="{9450F647-A605-4A26-9F69-AAC9C1ABB39B}"/>
  <bookViews>
    <workbookView xWindow="-110" yWindow="-110" windowWidth="19420" windowHeight="11500" xr2:uid="{00000000-000D-0000-FFFF-FFFF00000000}"/>
  </bookViews>
  <sheets>
    <sheet name="Summary" sheetId="1" r:id="rId1"/>
    <sheet name="Daily_data" sheetId="2" r:id="rId2"/>
  </sheets>
  <externalReferences>
    <externalReference r:id="rId3"/>
    <externalReference r:id="rId4"/>
    <externalReference r:id="rId5"/>
    <externalReference r:id="rId6"/>
    <externalReference r:id="rId7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28" i="1" l="1"/>
  <c r="AA372" i="2"/>
  <c r="M8" i="2"/>
  <c r="M355" i="2"/>
  <c r="M4" i="2"/>
  <c r="M5" i="2"/>
  <c r="M6" i="2"/>
  <c r="M7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M50" i="2"/>
  <c r="M51" i="2"/>
  <c r="M52" i="2"/>
  <c r="M53" i="2"/>
  <c r="M54" i="2"/>
  <c r="M55" i="2"/>
  <c r="M56" i="2"/>
  <c r="M57" i="2"/>
  <c r="M58" i="2"/>
  <c r="M59" i="2"/>
  <c r="M60" i="2"/>
  <c r="M61" i="2"/>
  <c r="M62" i="2"/>
  <c r="M63" i="2"/>
  <c r="M64" i="2"/>
  <c r="M65" i="2"/>
  <c r="M66" i="2"/>
  <c r="M67" i="2"/>
  <c r="M68" i="2"/>
  <c r="M69" i="2"/>
  <c r="M70" i="2"/>
  <c r="M71" i="2"/>
  <c r="M72" i="2"/>
  <c r="M73" i="2"/>
  <c r="M74" i="2"/>
  <c r="M75" i="2"/>
  <c r="M76" i="2"/>
  <c r="M77" i="2"/>
  <c r="M78" i="2"/>
  <c r="M79" i="2"/>
  <c r="M80" i="2"/>
  <c r="M81" i="2"/>
  <c r="M82" i="2"/>
  <c r="M83" i="2"/>
  <c r="M84" i="2"/>
  <c r="M85" i="2"/>
  <c r="M86" i="2"/>
  <c r="M87" i="2"/>
  <c r="M88" i="2"/>
  <c r="M89" i="2"/>
  <c r="M90" i="2"/>
  <c r="M91" i="2"/>
  <c r="M92" i="2"/>
  <c r="M93" i="2"/>
  <c r="M94" i="2"/>
  <c r="M95" i="2"/>
  <c r="M96" i="2"/>
  <c r="M97" i="2"/>
  <c r="M98" i="2"/>
  <c r="M99" i="2"/>
  <c r="M100" i="2"/>
  <c r="M101" i="2"/>
  <c r="M102" i="2"/>
  <c r="M103" i="2"/>
  <c r="M104" i="2"/>
  <c r="M105" i="2"/>
  <c r="M106" i="2"/>
  <c r="M107" i="2"/>
  <c r="M108" i="2"/>
  <c r="M109" i="2"/>
  <c r="M110" i="2"/>
  <c r="M111" i="2"/>
  <c r="M112" i="2"/>
  <c r="M113" i="2"/>
  <c r="M114" i="2"/>
  <c r="M115" i="2"/>
  <c r="M116" i="2"/>
  <c r="M117" i="2"/>
  <c r="M118" i="2"/>
  <c r="M119" i="2"/>
  <c r="M120" i="2"/>
  <c r="M121" i="2"/>
  <c r="M122" i="2"/>
  <c r="M123" i="2"/>
  <c r="M124" i="2"/>
  <c r="M125" i="2"/>
  <c r="M126" i="2"/>
  <c r="M127" i="2"/>
  <c r="M128" i="2"/>
  <c r="M130" i="2"/>
  <c r="M131" i="2"/>
  <c r="M132" i="2"/>
  <c r="M133" i="2"/>
  <c r="M134" i="2"/>
  <c r="M135" i="2"/>
  <c r="M136" i="2"/>
  <c r="M137" i="2"/>
  <c r="M138" i="2"/>
  <c r="M139" i="2"/>
  <c r="M140" i="2"/>
  <c r="M141" i="2"/>
  <c r="M142" i="2"/>
  <c r="M143" i="2"/>
  <c r="M144" i="2"/>
  <c r="M145" i="2"/>
  <c r="M146" i="2"/>
  <c r="M147" i="2"/>
  <c r="M148" i="2"/>
  <c r="M149" i="2"/>
  <c r="M150" i="2"/>
  <c r="M151" i="2"/>
  <c r="M152" i="2"/>
  <c r="M153" i="2"/>
  <c r="M154" i="2"/>
  <c r="M155" i="2"/>
  <c r="M156" i="2"/>
  <c r="M157" i="2"/>
  <c r="M158" i="2"/>
  <c r="M159" i="2"/>
  <c r="M160" i="2"/>
  <c r="M161" i="2"/>
  <c r="M162" i="2"/>
  <c r="M163" i="2"/>
  <c r="M164" i="2"/>
  <c r="M165" i="2"/>
  <c r="M166" i="2"/>
  <c r="M167" i="2"/>
  <c r="M168" i="2"/>
  <c r="M169" i="2"/>
  <c r="M170" i="2"/>
  <c r="M171" i="2"/>
  <c r="M172" i="2"/>
  <c r="M173" i="2"/>
  <c r="M174" i="2"/>
  <c r="M175" i="2"/>
  <c r="M176" i="2"/>
  <c r="M177" i="2"/>
  <c r="M178" i="2"/>
  <c r="M179" i="2"/>
  <c r="M180" i="2"/>
  <c r="M181" i="2"/>
  <c r="M182" i="2"/>
  <c r="M183" i="2"/>
  <c r="M184" i="2"/>
  <c r="M185" i="2"/>
  <c r="M186" i="2"/>
  <c r="M187" i="2"/>
  <c r="M188" i="2"/>
  <c r="M189" i="2"/>
  <c r="M190" i="2"/>
  <c r="M191" i="2"/>
  <c r="M192" i="2"/>
  <c r="M193" i="2"/>
  <c r="M194" i="2"/>
  <c r="M195" i="2"/>
  <c r="M196" i="2"/>
  <c r="M197" i="2"/>
  <c r="M198" i="2"/>
  <c r="M199" i="2"/>
  <c r="M200" i="2"/>
  <c r="M201" i="2"/>
  <c r="M202" i="2"/>
  <c r="M203" i="2"/>
  <c r="M204" i="2"/>
  <c r="M205" i="2"/>
  <c r="M206" i="2"/>
  <c r="M207" i="2"/>
  <c r="M208" i="2"/>
  <c r="M209" i="2"/>
  <c r="M210" i="2"/>
  <c r="M211" i="2"/>
  <c r="M212" i="2"/>
  <c r="M213" i="2"/>
  <c r="M214" i="2"/>
  <c r="M215" i="2"/>
  <c r="M216" i="2"/>
  <c r="M217" i="2"/>
  <c r="M218" i="2"/>
  <c r="M219" i="2"/>
  <c r="M220" i="2"/>
  <c r="M221" i="2"/>
  <c r="M222" i="2"/>
  <c r="M223" i="2"/>
  <c r="M224" i="2"/>
  <c r="M225" i="2"/>
  <c r="M226" i="2"/>
  <c r="M227" i="2"/>
  <c r="M228" i="2"/>
  <c r="M229" i="2"/>
  <c r="M230" i="2"/>
  <c r="M231" i="2"/>
  <c r="M232" i="2"/>
  <c r="M233" i="2"/>
  <c r="M234" i="2"/>
  <c r="M235" i="2"/>
  <c r="M236" i="2"/>
  <c r="M237" i="2"/>
  <c r="M238" i="2"/>
  <c r="M239" i="2"/>
  <c r="M240" i="2"/>
  <c r="M241" i="2"/>
  <c r="M242" i="2"/>
  <c r="M243" i="2"/>
  <c r="M244" i="2"/>
  <c r="M245" i="2"/>
  <c r="M246" i="2"/>
  <c r="M247" i="2"/>
  <c r="M248" i="2"/>
  <c r="M249" i="2"/>
  <c r="M250" i="2"/>
  <c r="M251" i="2"/>
  <c r="M252" i="2"/>
  <c r="M253" i="2"/>
  <c r="M254" i="2"/>
  <c r="M255" i="2"/>
  <c r="M256" i="2"/>
  <c r="M257" i="2"/>
  <c r="M258" i="2"/>
  <c r="M259" i="2"/>
  <c r="M260" i="2"/>
  <c r="M261" i="2"/>
  <c r="M262" i="2"/>
  <c r="M263" i="2"/>
  <c r="M264" i="2"/>
  <c r="M265" i="2"/>
  <c r="M266" i="2"/>
  <c r="M267" i="2"/>
  <c r="M268" i="2"/>
  <c r="M269" i="2"/>
  <c r="M270" i="2"/>
  <c r="M271" i="2"/>
  <c r="M272" i="2"/>
  <c r="M273" i="2"/>
  <c r="M274" i="2"/>
  <c r="M275" i="2"/>
  <c r="M276" i="2"/>
  <c r="M277" i="2"/>
  <c r="M278" i="2"/>
  <c r="M279" i="2"/>
  <c r="M280" i="2"/>
  <c r="M281" i="2"/>
  <c r="M282" i="2"/>
  <c r="M283" i="2"/>
  <c r="M284" i="2"/>
  <c r="M285" i="2"/>
  <c r="M286" i="2"/>
  <c r="M287" i="2"/>
  <c r="M288" i="2"/>
  <c r="M289" i="2"/>
  <c r="M290" i="2"/>
  <c r="M291" i="2"/>
  <c r="M292" i="2"/>
  <c r="M293" i="2"/>
  <c r="M294" i="2"/>
  <c r="M295" i="2"/>
  <c r="M296" i="2"/>
  <c r="M297" i="2"/>
  <c r="M298" i="2"/>
  <c r="M299" i="2"/>
  <c r="M300" i="2"/>
  <c r="M301" i="2"/>
  <c r="M302" i="2"/>
  <c r="M303" i="2"/>
  <c r="M304" i="2"/>
  <c r="M305" i="2"/>
  <c r="M306" i="2"/>
  <c r="M307" i="2"/>
  <c r="M308" i="2"/>
  <c r="M309" i="2"/>
  <c r="M310" i="2"/>
  <c r="M311" i="2"/>
  <c r="M312" i="2"/>
  <c r="M313" i="2"/>
  <c r="M314" i="2"/>
  <c r="M315" i="2"/>
  <c r="M316" i="2"/>
  <c r="M317" i="2"/>
  <c r="M318" i="2"/>
  <c r="M319" i="2"/>
  <c r="M320" i="2"/>
  <c r="M321" i="2"/>
  <c r="M322" i="2"/>
  <c r="M323" i="2"/>
  <c r="M324" i="2"/>
  <c r="M325" i="2"/>
  <c r="M326" i="2"/>
  <c r="M327" i="2"/>
  <c r="M328" i="2"/>
  <c r="M329" i="2"/>
  <c r="M330" i="2"/>
  <c r="M331" i="2"/>
  <c r="M332" i="2"/>
  <c r="M333" i="2"/>
  <c r="M334" i="2"/>
  <c r="M335" i="2"/>
  <c r="M336" i="2"/>
  <c r="M337" i="2"/>
  <c r="M338" i="2"/>
  <c r="M339" i="2"/>
  <c r="M340" i="2"/>
  <c r="M341" i="2"/>
  <c r="M342" i="2"/>
  <c r="M343" i="2"/>
  <c r="M345" i="2"/>
  <c r="M346" i="2"/>
  <c r="M347" i="2"/>
  <c r="M348" i="2"/>
  <c r="M349" i="2"/>
  <c r="M350" i="2"/>
  <c r="M351" i="2"/>
  <c r="M352" i="2"/>
  <c r="M353" i="2"/>
  <c r="M354" i="2"/>
  <c r="M356" i="2"/>
  <c r="M357" i="2"/>
  <c r="M358" i="2"/>
  <c r="M359" i="2"/>
  <c r="M360" i="2"/>
  <c r="M361" i="2"/>
  <c r="M362" i="2"/>
  <c r="M363" i="2"/>
  <c r="M364" i="2"/>
  <c r="M365" i="2"/>
  <c r="M366" i="2"/>
  <c r="M367" i="2"/>
  <c r="M368" i="2"/>
  <c r="T373" i="2"/>
  <c r="T371" i="2"/>
  <c r="S372" i="2"/>
  <c r="R372" i="2"/>
  <c r="P371" i="2"/>
  <c r="P373" i="2"/>
  <c r="O373" i="2"/>
  <c r="O371" i="2"/>
  <c r="N373" i="2"/>
  <c r="N371" i="2"/>
  <c r="K375" i="2"/>
  <c r="K373" i="2"/>
  <c r="K371" i="2"/>
  <c r="AB372" i="2"/>
  <c r="W373" i="2"/>
  <c r="W371" i="2"/>
  <c r="A5" i="2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A240" i="2" s="1"/>
  <c r="A241" i="2" s="1"/>
  <c r="A242" i="2" s="1"/>
  <c r="A243" i="2" s="1"/>
  <c r="A244" i="2" s="1"/>
  <c r="A245" i="2" s="1"/>
  <c r="A246" i="2" s="1"/>
  <c r="A247" i="2" s="1"/>
  <c r="A248" i="2" s="1"/>
  <c r="A249" i="2" s="1"/>
  <c r="A250" i="2" s="1"/>
  <c r="A251" i="2" s="1"/>
  <c r="A252" i="2" s="1"/>
  <c r="A253" i="2" s="1"/>
  <c r="A254" i="2" s="1"/>
  <c r="A255" i="2" s="1"/>
  <c r="A256" i="2" s="1"/>
  <c r="A257" i="2" s="1"/>
  <c r="A258" i="2" s="1"/>
  <c r="A259" i="2" s="1"/>
  <c r="A260" i="2" s="1"/>
  <c r="A261" i="2" s="1"/>
  <c r="A262" i="2" s="1"/>
  <c r="A263" i="2" s="1"/>
  <c r="A264" i="2" s="1"/>
  <c r="A265" i="2" s="1"/>
  <c r="A266" i="2" s="1"/>
  <c r="A267" i="2" s="1"/>
  <c r="A268" i="2" s="1"/>
  <c r="A269" i="2" s="1"/>
  <c r="A270" i="2" s="1"/>
  <c r="A271" i="2" s="1"/>
  <c r="A272" i="2" s="1"/>
  <c r="A273" i="2" s="1"/>
  <c r="A274" i="2" s="1"/>
  <c r="A275" i="2" s="1"/>
  <c r="A276" i="2" s="1"/>
  <c r="A277" i="2" s="1"/>
  <c r="A278" i="2" s="1"/>
  <c r="A279" i="2" s="1"/>
  <c r="A280" i="2" s="1"/>
  <c r="A281" i="2" s="1"/>
  <c r="A282" i="2" s="1"/>
  <c r="A283" i="2" s="1"/>
  <c r="A284" i="2" s="1"/>
  <c r="A285" i="2" s="1"/>
  <c r="A286" i="2" s="1"/>
  <c r="A287" i="2" s="1"/>
  <c r="A288" i="2" s="1"/>
  <c r="A289" i="2" s="1"/>
  <c r="A290" i="2" s="1"/>
  <c r="A291" i="2" s="1"/>
  <c r="A292" i="2" s="1"/>
  <c r="A293" i="2" s="1"/>
  <c r="A294" i="2" s="1"/>
  <c r="A295" i="2" s="1"/>
  <c r="A296" i="2" s="1"/>
  <c r="A297" i="2" s="1"/>
  <c r="A298" i="2" s="1"/>
  <c r="A299" i="2" s="1"/>
  <c r="A300" i="2" s="1"/>
  <c r="A301" i="2" s="1"/>
  <c r="A302" i="2" s="1"/>
  <c r="A303" i="2" s="1"/>
  <c r="A304" i="2" s="1"/>
  <c r="A305" i="2" s="1"/>
  <c r="A306" i="2" s="1"/>
  <c r="A307" i="2" s="1"/>
  <c r="A308" i="2" s="1"/>
  <c r="A309" i="2" s="1"/>
  <c r="A310" i="2" s="1"/>
  <c r="A311" i="2" s="1"/>
  <c r="A312" i="2" s="1"/>
  <c r="A313" i="2" s="1"/>
  <c r="A314" i="2" s="1"/>
  <c r="A315" i="2" s="1"/>
  <c r="A316" i="2" s="1"/>
  <c r="A317" i="2" s="1"/>
  <c r="A318" i="2" s="1"/>
  <c r="A319" i="2" s="1"/>
  <c r="A320" i="2" s="1"/>
  <c r="A321" i="2" s="1"/>
  <c r="A322" i="2" s="1"/>
  <c r="A323" i="2" s="1"/>
  <c r="A324" i="2" s="1"/>
  <c r="A325" i="2" s="1"/>
  <c r="A326" i="2" s="1"/>
  <c r="A327" i="2" s="1"/>
  <c r="A328" i="2" s="1"/>
  <c r="A329" i="2" s="1"/>
  <c r="A330" i="2" s="1"/>
  <c r="A331" i="2" s="1"/>
  <c r="A332" i="2" s="1"/>
  <c r="A333" i="2" s="1"/>
  <c r="A334" i="2" s="1"/>
  <c r="A335" i="2" s="1"/>
  <c r="A336" i="2" s="1"/>
  <c r="A337" i="2" s="1"/>
  <c r="A338" i="2" s="1"/>
  <c r="A339" i="2" s="1"/>
  <c r="A340" i="2" s="1"/>
  <c r="A341" i="2" s="1"/>
  <c r="A342" i="2" s="1"/>
  <c r="A343" i="2" s="1"/>
  <c r="A344" i="2" s="1"/>
  <c r="A345" i="2" s="1"/>
  <c r="A346" i="2" s="1"/>
  <c r="A347" i="2" s="1"/>
  <c r="A348" i="2" s="1"/>
  <c r="A349" i="2" s="1"/>
  <c r="A350" i="2" s="1"/>
  <c r="A351" i="2" s="1"/>
  <c r="A352" i="2" s="1"/>
  <c r="A353" i="2" s="1"/>
  <c r="A354" i="2" s="1"/>
  <c r="A355" i="2" s="1"/>
  <c r="A356" i="2" s="1"/>
  <c r="A357" i="2" s="1"/>
  <c r="A358" i="2" s="1"/>
  <c r="A359" i="2" s="1"/>
  <c r="A360" i="2" s="1"/>
  <c r="A361" i="2" s="1"/>
  <c r="A362" i="2" s="1"/>
  <c r="A363" i="2" s="1"/>
  <c r="A364" i="2" s="1"/>
  <c r="A365" i="2" s="1"/>
  <c r="A366" i="2" s="1"/>
  <c r="A367" i="2" s="1"/>
  <c r="A368" i="2" s="1"/>
  <c r="AB368" i="2"/>
  <c r="G368" i="2"/>
  <c r="F368" i="2"/>
  <c r="D368" i="2"/>
  <c r="AB367" i="2"/>
  <c r="G367" i="2"/>
  <c r="F367" i="2"/>
  <c r="D367" i="2"/>
  <c r="AB366" i="2"/>
  <c r="G366" i="2"/>
  <c r="F366" i="2"/>
  <c r="D366" i="2"/>
  <c r="AB365" i="2"/>
  <c r="G365" i="2"/>
  <c r="F365" i="2"/>
  <c r="D365" i="2"/>
  <c r="AB364" i="2"/>
  <c r="G364" i="2"/>
  <c r="F364" i="2"/>
  <c r="D364" i="2"/>
  <c r="AB363" i="2"/>
  <c r="G363" i="2"/>
  <c r="F363" i="2"/>
  <c r="D363" i="2"/>
  <c r="AB362" i="2"/>
  <c r="G362" i="2"/>
  <c r="F362" i="2"/>
  <c r="D362" i="2"/>
  <c r="AB361" i="2"/>
  <c r="G361" i="2"/>
  <c r="F361" i="2"/>
  <c r="D361" i="2"/>
  <c r="AB360" i="2"/>
  <c r="G360" i="2"/>
  <c r="F360" i="2"/>
  <c r="D360" i="2"/>
  <c r="AB359" i="2"/>
  <c r="G359" i="2"/>
  <c r="F359" i="2"/>
  <c r="D359" i="2"/>
  <c r="AB358" i="2"/>
  <c r="G358" i="2"/>
  <c r="F358" i="2"/>
  <c r="D358" i="2"/>
  <c r="AB357" i="2"/>
  <c r="G357" i="2"/>
  <c r="F357" i="2"/>
  <c r="D357" i="2"/>
  <c r="AB356" i="2"/>
  <c r="G356" i="2"/>
  <c r="F356" i="2"/>
  <c r="D356" i="2"/>
  <c r="AB355" i="2"/>
  <c r="G355" i="2"/>
  <c r="F355" i="2"/>
  <c r="D355" i="2"/>
  <c r="AB354" i="2"/>
  <c r="G354" i="2"/>
  <c r="F354" i="2"/>
  <c r="D354" i="2"/>
  <c r="AB353" i="2"/>
  <c r="G353" i="2"/>
  <c r="F353" i="2"/>
  <c r="D353" i="2"/>
  <c r="AB352" i="2"/>
  <c r="G352" i="2"/>
  <c r="F352" i="2"/>
  <c r="D352" i="2"/>
  <c r="AB351" i="2"/>
  <c r="G351" i="2"/>
  <c r="F351" i="2"/>
  <c r="D351" i="2"/>
  <c r="AB350" i="2"/>
  <c r="G350" i="2"/>
  <c r="F350" i="2"/>
  <c r="D350" i="2"/>
  <c r="AB349" i="2"/>
  <c r="G349" i="2"/>
  <c r="F349" i="2"/>
  <c r="D349" i="2"/>
  <c r="AB348" i="2"/>
  <c r="G348" i="2"/>
  <c r="F348" i="2"/>
  <c r="D348" i="2"/>
  <c r="AB347" i="2"/>
  <c r="G347" i="2"/>
  <c r="F347" i="2"/>
  <c r="D347" i="2"/>
  <c r="AB346" i="2"/>
  <c r="G346" i="2"/>
  <c r="F346" i="2"/>
  <c r="D346" i="2"/>
  <c r="AB345" i="2"/>
  <c r="G345" i="2"/>
  <c r="F345" i="2"/>
  <c r="D345" i="2"/>
  <c r="AB344" i="2"/>
  <c r="G344" i="2"/>
  <c r="F344" i="2"/>
  <c r="D344" i="2"/>
  <c r="AB343" i="2"/>
  <c r="G343" i="2"/>
  <c r="F343" i="2"/>
  <c r="D343" i="2"/>
  <c r="AB342" i="2"/>
  <c r="G342" i="2"/>
  <c r="F342" i="2"/>
  <c r="D342" i="2"/>
  <c r="AB341" i="2"/>
  <c r="G341" i="2"/>
  <c r="F341" i="2"/>
  <c r="D341" i="2"/>
  <c r="AB340" i="2"/>
  <c r="G340" i="2"/>
  <c r="F340" i="2"/>
  <c r="D340" i="2"/>
  <c r="AB339" i="2"/>
  <c r="G339" i="2"/>
  <c r="F339" i="2"/>
  <c r="D339" i="2"/>
  <c r="AB338" i="2"/>
  <c r="G338" i="2"/>
  <c r="F338" i="2"/>
  <c r="D338" i="2"/>
  <c r="AB337" i="2"/>
  <c r="G337" i="2"/>
  <c r="F337" i="2"/>
  <c r="D337" i="2"/>
  <c r="AB336" i="2"/>
  <c r="G336" i="2"/>
  <c r="F336" i="2"/>
  <c r="D336" i="2"/>
  <c r="AB335" i="2"/>
  <c r="G335" i="2"/>
  <c r="F335" i="2"/>
  <c r="D335" i="2"/>
  <c r="AB334" i="2"/>
  <c r="G334" i="2"/>
  <c r="F334" i="2"/>
  <c r="D334" i="2"/>
  <c r="AB333" i="2"/>
  <c r="G333" i="2"/>
  <c r="F333" i="2"/>
  <c r="D333" i="2"/>
  <c r="AB332" i="2"/>
  <c r="G332" i="2"/>
  <c r="F332" i="2"/>
  <c r="D332" i="2"/>
  <c r="AB331" i="2"/>
  <c r="G331" i="2"/>
  <c r="F331" i="2"/>
  <c r="D331" i="2"/>
  <c r="AB330" i="2"/>
  <c r="G330" i="2"/>
  <c r="F330" i="2"/>
  <c r="D330" i="2"/>
  <c r="AB329" i="2"/>
  <c r="G329" i="2"/>
  <c r="F329" i="2"/>
  <c r="D329" i="2"/>
  <c r="AB328" i="2"/>
  <c r="G328" i="2"/>
  <c r="F328" i="2"/>
  <c r="D328" i="2"/>
  <c r="AB327" i="2"/>
  <c r="G327" i="2"/>
  <c r="F327" i="2"/>
  <c r="D327" i="2"/>
  <c r="AB326" i="2"/>
  <c r="G326" i="2"/>
  <c r="F326" i="2"/>
  <c r="D326" i="2"/>
  <c r="AB325" i="2"/>
  <c r="G325" i="2"/>
  <c r="F325" i="2"/>
  <c r="D325" i="2"/>
  <c r="AB324" i="2"/>
  <c r="G324" i="2"/>
  <c r="F324" i="2"/>
  <c r="D324" i="2"/>
  <c r="AB323" i="2"/>
  <c r="G323" i="2"/>
  <c r="F323" i="2"/>
  <c r="D323" i="2"/>
  <c r="AB322" i="2"/>
  <c r="G322" i="2"/>
  <c r="F322" i="2"/>
  <c r="D322" i="2"/>
  <c r="AB321" i="2"/>
  <c r="G321" i="2"/>
  <c r="F321" i="2"/>
  <c r="D321" i="2"/>
  <c r="AB320" i="2"/>
  <c r="G320" i="2"/>
  <c r="F320" i="2"/>
  <c r="D320" i="2"/>
  <c r="AB319" i="2"/>
  <c r="G319" i="2"/>
  <c r="F319" i="2"/>
  <c r="D319" i="2"/>
  <c r="AB318" i="2"/>
  <c r="G318" i="2"/>
  <c r="F318" i="2"/>
  <c r="D318" i="2"/>
  <c r="AB317" i="2"/>
  <c r="G317" i="2"/>
  <c r="F317" i="2"/>
  <c r="D317" i="2"/>
  <c r="AB316" i="2"/>
  <c r="G316" i="2"/>
  <c r="F316" i="2"/>
  <c r="D316" i="2"/>
  <c r="AB315" i="2"/>
  <c r="G315" i="2"/>
  <c r="F315" i="2"/>
  <c r="D315" i="2"/>
  <c r="AB314" i="2"/>
  <c r="G314" i="2"/>
  <c r="F314" i="2"/>
  <c r="D314" i="2"/>
  <c r="AB313" i="2"/>
  <c r="G313" i="2"/>
  <c r="F313" i="2"/>
  <c r="D313" i="2"/>
  <c r="AB312" i="2"/>
  <c r="G312" i="2"/>
  <c r="F312" i="2"/>
  <c r="D312" i="2"/>
  <c r="AB311" i="2"/>
  <c r="G311" i="2"/>
  <c r="F311" i="2"/>
  <c r="D311" i="2"/>
  <c r="AB310" i="2"/>
  <c r="G310" i="2"/>
  <c r="F310" i="2"/>
  <c r="D310" i="2"/>
  <c r="AB309" i="2"/>
  <c r="G309" i="2"/>
  <c r="F309" i="2"/>
  <c r="D309" i="2"/>
  <c r="AB308" i="2"/>
  <c r="G308" i="2"/>
  <c r="F308" i="2"/>
  <c r="D308" i="2"/>
  <c r="AB307" i="2"/>
  <c r="G307" i="2"/>
  <c r="F307" i="2"/>
  <c r="D307" i="2"/>
  <c r="AB306" i="2"/>
  <c r="G306" i="2"/>
  <c r="F306" i="2"/>
  <c r="D306" i="2"/>
  <c r="AB305" i="2"/>
  <c r="G305" i="2"/>
  <c r="F305" i="2"/>
  <c r="D305" i="2"/>
  <c r="AB304" i="2"/>
  <c r="G304" i="2"/>
  <c r="F304" i="2"/>
  <c r="D304" i="2"/>
  <c r="AB303" i="2"/>
  <c r="G303" i="2"/>
  <c r="F303" i="2"/>
  <c r="D303" i="2"/>
  <c r="AB302" i="2"/>
  <c r="G302" i="2"/>
  <c r="F302" i="2"/>
  <c r="D302" i="2"/>
  <c r="AB301" i="2"/>
  <c r="G301" i="2"/>
  <c r="F301" i="2"/>
  <c r="D301" i="2"/>
  <c r="AB300" i="2"/>
  <c r="G300" i="2"/>
  <c r="F300" i="2"/>
  <c r="D300" i="2"/>
  <c r="AB299" i="2"/>
  <c r="G299" i="2"/>
  <c r="F299" i="2"/>
  <c r="D299" i="2"/>
  <c r="AB298" i="2"/>
  <c r="G298" i="2"/>
  <c r="F298" i="2"/>
  <c r="D298" i="2"/>
  <c r="AB297" i="2"/>
  <c r="G297" i="2"/>
  <c r="F297" i="2"/>
  <c r="D297" i="2"/>
  <c r="AB296" i="2"/>
  <c r="G296" i="2"/>
  <c r="F296" i="2"/>
  <c r="D296" i="2"/>
  <c r="AB295" i="2"/>
  <c r="G295" i="2"/>
  <c r="F295" i="2"/>
  <c r="D295" i="2"/>
  <c r="AB294" i="2"/>
  <c r="G294" i="2"/>
  <c r="F294" i="2"/>
  <c r="D294" i="2"/>
  <c r="AB293" i="2"/>
  <c r="G293" i="2"/>
  <c r="F293" i="2"/>
  <c r="D293" i="2"/>
  <c r="AB292" i="2"/>
  <c r="G292" i="2"/>
  <c r="F292" i="2"/>
  <c r="D292" i="2"/>
  <c r="AB291" i="2"/>
  <c r="G291" i="2"/>
  <c r="F291" i="2"/>
  <c r="D291" i="2"/>
  <c r="AB290" i="2"/>
  <c r="G290" i="2"/>
  <c r="F290" i="2"/>
  <c r="D290" i="2"/>
  <c r="AB289" i="2"/>
  <c r="G289" i="2"/>
  <c r="F289" i="2"/>
  <c r="D289" i="2"/>
  <c r="AB288" i="2"/>
  <c r="G288" i="2"/>
  <c r="F288" i="2"/>
  <c r="D288" i="2"/>
  <c r="AB287" i="2"/>
  <c r="G287" i="2"/>
  <c r="F287" i="2"/>
  <c r="D287" i="2"/>
  <c r="AB286" i="2"/>
  <c r="G286" i="2"/>
  <c r="F286" i="2"/>
  <c r="D286" i="2"/>
  <c r="AB285" i="2"/>
  <c r="G285" i="2"/>
  <c r="F285" i="2"/>
  <c r="D285" i="2"/>
  <c r="AB284" i="2"/>
  <c r="G284" i="2"/>
  <c r="F284" i="2"/>
  <c r="D284" i="2"/>
  <c r="AB283" i="2"/>
  <c r="G283" i="2"/>
  <c r="F283" i="2"/>
  <c r="D283" i="2"/>
  <c r="AB282" i="2"/>
  <c r="G282" i="2"/>
  <c r="F282" i="2"/>
  <c r="D282" i="2"/>
  <c r="AB281" i="2"/>
  <c r="G281" i="2"/>
  <c r="F281" i="2"/>
  <c r="D281" i="2"/>
  <c r="AB280" i="2"/>
  <c r="G280" i="2"/>
  <c r="F280" i="2"/>
  <c r="D280" i="2"/>
  <c r="AB277" i="2"/>
  <c r="G277" i="2"/>
  <c r="F277" i="2"/>
  <c r="D277" i="2"/>
  <c r="AB276" i="2"/>
  <c r="G276" i="2"/>
  <c r="F276" i="2"/>
  <c r="D276" i="2"/>
  <c r="AB275" i="2"/>
  <c r="G275" i="2"/>
  <c r="F275" i="2"/>
  <c r="D275" i="2"/>
  <c r="AB274" i="2"/>
  <c r="G274" i="2"/>
  <c r="F274" i="2"/>
  <c r="D274" i="2"/>
  <c r="AB273" i="2"/>
  <c r="G273" i="2"/>
  <c r="F273" i="2"/>
  <c r="D273" i="2"/>
  <c r="AB272" i="2"/>
  <c r="G272" i="2"/>
  <c r="F272" i="2"/>
  <c r="D272" i="2"/>
  <c r="AB271" i="2"/>
  <c r="G271" i="2"/>
  <c r="F271" i="2"/>
  <c r="D271" i="2"/>
  <c r="AB270" i="2"/>
  <c r="G270" i="2"/>
  <c r="F270" i="2"/>
  <c r="D270" i="2"/>
  <c r="AB269" i="2"/>
  <c r="G269" i="2"/>
  <c r="F269" i="2"/>
  <c r="D269" i="2"/>
  <c r="AB268" i="2"/>
  <c r="G268" i="2"/>
  <c r="F268" i="2"/>
  <c r="D268" i="2"/>
  <c r="AB267" i="2"/>
  <c r="G267" i="2"/>
  <c r="F267" i="2"/>
  <c r="D267" i="2"/>
  <c r="AB266" i="2"/>
  <c r="G266" i="2"/>
  <c r="F266" i="2"/>
  <c r="D266" i="2"/>
  <c r="AB265" i="2"/>
  <c r="G265" i="2"/>
  <c r="F265" i="2"/>
  <c r="D265" i="2"/>
  <c r="AB264" i="2"/>
  <c r="G264" i="2"/>
  <c r="F264" i="2"/>
  <c r="D264" i="2"/>
  <c r="AB263" i="2"/>
  <c r="G263" i="2"/>
  <c r="F263" i="2"/>
  <c r="D263" i="2"/>
  <c r="AB262" i="2"/>
  <c r="G262" i="2"/>
  <c r="F262" i="2"/>
  <c r="D262" i="2"/>
  <c r="AB261" i="2"/>
  <c r="W261" i="2"/>
  <c r="G261" i="2"/>
  <c r="F261" i="2"/>
  <c r="D261" i="2"/>
  <c r="AB260" i="2"/>
  <c r="G260" i="2"/>
  <c r="F260" i="2"/>
  <c r="D260" i="2"/>
  <c r="AB259" i="2"/>
  <c r="G259" i="2"/>
  <c r="F259" i="2"/>
  <c r="D259" i="2"/>
  <c r="AB258" i="2"/>
  <c r="G258" i="2"/>
  <c r="F258" i="2"/>
  <c r="D258" i="2"/>
  <c r="AB257" i="2"/>
  <c r="G257" i="2"/>
  <c r="F257" i="2"/>
  <c r="D257" i="2"/>
  <c r="AB256" i="2"/>
  <c r="G256" i="2"/>
  <c r="F256" i="2"/>
  <c r="D256" i="2"/>
  <c r="AB255" i="2"/>
  <c r="G255" i="2"/>
  <c r="F255" i="2"/>
  <c r="D255" i="2"/>
  <c r="AB254" i="2"/>
  <c r="G254" i="2"/>
  <c r="F254" i="2"/>
  <c r="D254" i="2"/>
  <c r="AB253" i="2"/>
  <c r="G253" i="2"/>
  <c r="F253" i="2"/>
  <c r="D253" i="2"/>
  <c r="AB252" i="2"/>
  <c r="G252" i="2"/>
  <c r="F252" i="2"/>
  <c r="D252" i="2"/>
  <c r="AB251" i="2"/>
  <c r="G251" i="2"/>
  <c r="F251" i="2"/>
  <c r="D251" i="2"/>
  <c r="AB250" i="2"/>
  <c r="G250" i="2"/>
  <c r="F250" i="2"/>
  <c r="D250" i="2"/>
  <c r="AB249" i="2"/>
  <c r="G249" i="2"/>
  <c r="F249" i="2"/>
  <c r="D249" i="2"/>
  <c r="AB248" i="2"/>
  <c r="G248" i="2"/>
  <c r="F248" i="2"/>
  <c r="D248" i="2"/>
  <c r="AB247" i="2"/>
  <c r="G247" i="2"/>
  <c r="F247" i="2"/>
  <c r="D247" i="2"/>
  <c r="AB246" i="2"/>
  <c r="G246" i="2"/>
  <c r="F246" i="2"/>
  <c r="D246" i="2"/>
  <c r="AB245" i="2"/>
  <c r="G245" i="2"/>
  <c r="F245" i="2"/>
  <c r="D245" i="2"/>
  <c r="AB244" i="2"/>
  <c r="G244" i="2"/>
  <c r="F244" i="2"/>
  <c r="D244" i="2"/>
  <c r="AB243" i="2"/>
  <c r="G243" i="2"/>
  <c r="F243" i="2"/>
  <c r="D243" i="2"/>
  <c r="AB242" i="2"/>
  <c r="G242" i="2"/>
  <c r="F242" i="2"/>
  <c r="D242" i="2"/>
  <c r="AB241" i="2"/>
  <c r="G241" i="2"/>
  <c r="F241" i="2"/>
  <c r="D241" i="2"/>
  <c r="AB240" i="2"/>
  <c r="G240" i="2"/>
  <c r="F240" i="2"/>
  <c r="D240" i="2"/>
  <c r="AB239" i="2"/>
  <c r="G239" i="2"/>
  <c r="F239" i="2"/>
  <c r="D239" i="2"/>
  <c r="AB238" i="2"/>
  <c r="G238" i="2"/>
  <c r="F238" i="2"/>
  <c r="D238" i="2"/>
  <c r="AB237" i="2"/>
  <c r="G237" i="2"/>
  <c r="F237" i="2"/>
  <c r="D237" i="2"/>
  <c r="AB236" i="2"/>
  <c r="G236" i="2"/>
  <c r="F236" i="2"/>
  <c r="D236" i="2"/>
  <c r="AB235" i="2"/>
  <c r="G235" i="2"/>
  <c r="F235" i="2"/>
  <c r="D235" i="2"/>
  <c r="AB234" i="2"/>
  <c r="G234" i="2"/>
  <c r="F234" i="2"/>
  <c r="D234" i="2"/>
  <c r="AB233" i="2"/>
  <c r="G233" i="2"/>
  <c r="F233" i="2"/>
  <c r="D233" i="2"/>
  <c r="AB232" i="2"/>
  <c r="G232" i="2"/>
  <c r="F232" i="2"/>
  <c r="D232" i="2"/>
  <c r="AB231" i="2"/>
  <c r="G231" i="2"/>
  <c r="F231" i="2"/>
  <c r="D231" i="2"/>
  <c r="AB230" i="2"/>
  <c r="G230" i="2"/>
  <c r="F230" i="2"/>
  <c r="D230" i="2"/>
  <c r="AB229" i="2"/>
  <c r="G229" i="2"/>
  <c r="F229" i="2"/>
  <c r="D229" i="2"/>
  <c r="AB228" i="2"/>
  <c r="G228" i="2"/>
  <c r="F228" i="2"/>
  <c r="D228" i="2"/>
  <c r="AB227" i="2"/>
  <c r="G227" i="2"/>
  <c r="F227" i="2"/>
  <c r="D227" i="2"/>
  <c r="AB226" i="2"/>
  <c r="G226" i="2"/>
  <c r="F226" i="2"/>
  <c r="D226" i="2"/>
  <c r="AB225" i="2"/>
  <c r="G225" i="2"/>
  <c r="F225" i="2"/>
  <c r="D225" i="2"/>
  <c r="AB224" i="2"/>
  <c r="G224" i="2"/>
  <c r="F224" i="2"/>
  <c r="D224" i="2"/>
  <c r="AB223" i="2"/>
  <c r="G223" i="2"/>
  <c r="F223" i="2"/>
  <c r="D223" i="2"/>
  <c r="AB222" i="2"/>
  <c r="G222" i="2"/>
  <c r="F222" i="2"/>
  <c r="D222" i="2"/>
  <c r="AB221" i="2"/>
  <c r="G221" i="2"/>
  <c r="F221" i="2"/>
  <c r="D221" i="2"/>
  <c r="AB220" i="2"/>
  <c r="G220" i="2"/>
  <c r="F220" i="2"/>
  <c r="D220" i="2"/>
  <c r="AB219" i="2"/>
  <c r="G219" i="2"/>
  <c r="F219" i="2"/>
  <c r="D219" i="2"/>
  <c r="AB218" i="2"/>
  <c r="G218" i="2"/>
  <c r="F218" i="2"/>
  <c r="D218" i="2"/>
  <c r="AB217" i="2"/>
  <c r="G217" i="2"/>
  <c r="F217" i="2"/>
  <c r="D217" i="2"/>
  <c r="AB216" i="2"/>
  <c r="G216" i="2"/>
  <c r="F216" i="2"/>
  <c r="D216" i="2"/>
  <c r="M372" i="2" l="1"/>
  <c r="T11" i="1"/>
  <c r="T12" i="1"/>
  <c r="T14" i="1"/>
  <c r="T15" i="1"/>
  <c r="T16" i="1"/>
  <c r="T17" i="1"/>
  <c r="T18" i="1"/>
  <c r="T19" i="1"/>
  <c r="T20" i="1"/>
  <c r="T21" i="1"/>
  <c r="T24" i="1"/>
  <c r="T25" i="1"/>
  <c r="T27" i="1"/>
  <c r="T28" i="1"/>
  <c r="T30" i="1"/>
  <c r="T31" i="1"/>
  <c r="T32" i="1"/>
  <c r="T33" i="1"/>
  <c r="Q30" i="1"/>
  <c r="Q31" i="1"/>
  <c r="Q32" i="1"/>
  <c r="Q33" i="1"/>
  <c r="Q29" i="1" l="1"/>
  <c r="Q19" i="1"/>
  <c r="Q17" i="1"/>
  <c r="Q15" i="1"/>
  <c r="Q13" i="1"/>
  <c r="Q12" i="1"/>
  <c r="Q23" i="1" l="1"/>
</calcChain>
</file>

<file path=xl/sharedStrings.xml><?xml version="1.0" encoding="utf-8"?>
<sst xmlns="http://schemas.openxmlformats.org/spreadsheetml/2006/main" count="1226" uniqueCount="129">
  <si>
    <t>Radcliffe Meteorological Station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</si>
  <si>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</si>
  <si>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</si>
  <si>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</si>
  <si>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</si>
  <si>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</si>
  <si>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</si>
  <si>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</si>
  <si>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</si>
  <si>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</si>
  <si>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</si>
  <si>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</si>
  <si>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</si>
  <si>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r>
      <t>Mean air temperature (</t>
    </r>
    <r>
      <rPr>
        <vertAlign val="superscript"/>
        <sz val="10"/>
        <rFont val="Arial"/>
        <family val="2"/>
      </rPr>
      <t>o</t>
    </r>
    <r>
      <rPr>
        <sz val="10"/>
        <rFont val="Arial"/>
        <family val="2"/>
      </rPr>
      <t>C)</t>
    </r>
  </si>
  <si>
    <r>
      <t>Absolute maximum air temperature (</t>
    </r>
    <r>
      <rPr>
        <vertAlign val="superscript"/>
        <sz val="10"/>
        <rFont val="Arial"/>
        <family val="2"/>
      </rPr>
      <t>o</t>
    </r>
    <r>
      <rPr>
        <sz val="10"/>
        <rFont val="Arial"/>
        <family val="2"/>
      </rPr>
      <t>C)</t>
    </r>
  </si>
  <si>
    <r>
      <t>Lowest maximum air temperature (</t>
    </r>
    <r>
      <rPr>
        <vertAlign val="superscript"/>
        <sz val="10"/>
        <rFont val="Arial"/>
        <family val="2"/>
      </rPr>
      <t>o</t>
    </r>
    <r>
      <rPr>
        <sz val="10"/>
        <rFont val="Arial"/>
        <family val="2"/>
      </rPr>
      <t>C)</t>
    </r>
  </si>
  <si>
    <r>
      <t>Mean maximum air temperature (</t>
    </r>
    <r>
      <rPr>
        <vertAlign val="superscript"/>
        <sz val="10"/>
        <rFont val="Arial"/>
        <family val="2"/>
      </rPr>
      <t>o</t>
    </r>
    <r>
      <rPr>
        <sz val="10"/>
        <rFont val="Arial"/>
        <family val="2"/>
      </rPr>
      <t>C)</t>
    </r>
  </si>
  <si>
    <r>
      <t>Absolute minimum air temperature (</t>
    </r>
    <r>
      <rPr>
        <vertAlign val="superscript"/>
        <sz val="10"/>
        <rFont val="Arial"/>
        <family val="2"/>
      </rPr>
      <t>o</t>
    </r>
    <r>
      <rPr>
        <sz val="10"/>
        <rFont val="Arial"/>
        <family val="2"/>
      </rPr>
      <t>C)</t>
    </r>
  </si>
  <si>
    <r>
      <t>Mean minimum air temperature (</t>
    </r>
    <r>
      <rPr>
        <vertAlign val="superscript"/>
        <sz val="10"/>
        <rFont val="Arial"/>
        <family val="2"/>
      </rPr>
      <t>o</t>
    </r>
    <r>
      <rPr>
        <sz val="10"/>
        <rFont val="Arial"/>
        <family val="2"/>
      </rPr>
      <t>C)</t>
    </r>
  </si>
  <si>
    <r>
      <t>Absolute minimum grass temperature (</t>
    </r>
    <r>
      <rPr>
        <vertAlign val="superscript"/>
        <sz val="10"/>
        <rFont val="Arial"/>
        <family val="2"/>
      </rPr>
      <t>o</t>
    </r>
    <r>
      <rPr>
        <sz val="10"/>
        <rFont val="Arial"/>
        <family val="2"/>
      </rPr>
      <t>C)</t>
    </r>
  </si>
  <si>
    <r>
      <t>Mean minimum grass temperature (</t>
    </r>
    <r>
      <rPr>
        <vertAlign val="superscript"/>
        <sz val="10"/>
        <rFont val="Arial"/>
        <family val="2"/>
      </rPr>
      <t>o</t>
    </r>
    <r>
      <rPr>
        <sz val="10"/>
        <rFont val="Arial"/>
        <family val="2"/>
      </rPr>
      <t>C)</t>
    </r>
  </si>
  <si>
    <r>
      <t>Absolute minimum concrete temperature (</t>
    </r>
    <r>
      <rPr>
        <vertAlign val="superscript"/>
        <sz val="10"/>
        <rFont val="Arial"/>
        <family val="2"/>
      </rPr>
      <t>o</t>
    </r>
    <r>
      <rPr>
        <sz val="10"/>
        <rFont val="Arial"/>
        <family val="2"/>
      </rPr>
      <t>C)</t>
    </r>
  </si>
  <si>
    <r>
      <t>Mean minimum concrete temperature (</t>
    </r>
    <r>
      <rPr>
        <vertAlign val="superscript"/>
        <sz val="10"/>
        <rFont val="Arial"/>
        <family val="2"/>
      </rPr>
      <t>o</t>
    </r>
    <r>
      <rPr>
        <sz val="10"/>
        <rFont val="Arial"/>
        <family val="2"/>
      </rPr>
      <t>C)</t>
    </r>
  </si>
  <si>
    <r>
      <t>Mean soil temperature at 30 cm (</t>
    </r>
    <r>
      <rPr>
        <vertAlign val="superscript"/>
        <sz val="10"/>
        <rFont val="Arial"/>
        <family val="2"/>
      </rPr>
      <t>o</t>
    </r>
    <r>
      <rPr>
        <sz val="10"/>
        <rFont val="Arial"/>
        <family val="2"/>
      </rPr>
      <t>C)</t>
    </r>
  </si>
  <si>
    <r>
      <t>Mean soil temperature at 100 cm (</t>
    </r>
    <r>
      <rPr>
        <vertAlign val="superscript"/>
        <sz val="10"/>
        <rFont val="Arial"/>
        <family val="2"/>
      </rPr>
      <t>o</t>
    </r>
    <r>
      <rPr>
        <sz val="10"/>
        <rFont val="Arial"/>
        <family val="2"/>
      </rPr>
      <t>C)</t>
    </r>
  </si>
  <si>
    <t>Highest daily rainfall (mm)</t>
  </si>
  <si>
    <t>Total rainfall (mm)</t>
  </si>
  <si>
    <t>Total bright sunshine (hours)</t>
  </si>
  <si>
    <t>Mean daily bright sunshine (hours)</t>
  </si>
  <si>
    <t>Mean wind speed (knots)</t>
  </si>
  <si>
    <t>No. of rain days (0.2 mm or more rainfall)</t>
  </si>
  <si>
    <t>No. of wet days (1.0 mm or more rainfall)</t>
  </si>
  <si>
    <r>
      <t>No. of days with minimum temperature less than 0</t>
    </r>
    <r>
      <rPr>
        <vertAlign val="superscript"/>
        <sz val="10"/>
        <rFont val="Arial"/>
        <family val="2"/>
      </rPr>
      <t>o</t>
    </r>
    <r>
      <rPr>
        <sz val="10"/>
        <rFont val="Arial"/>
        <family val="2"/>
      </rPr>
      <t xml:space="preserve">C  </t>
    </r>
  </si>
  <si>
    <r>
      <t>No. of days with ground temperature less than 0</t>
    </r>
    <r>
      <rPr>
        <vertAlign val="superscript"/>
        <sz val="10"/>
        <rFont val="Arial"/>
        <family val="2"/>
      </rPr>
      <t>o</t>
    </r>
    <r>
      <rPr>
        <sz val="10"/>
        <rFont val="Arial"/>
        <family val="2"/>
      </rPr>
      <t>C</t>
    </r>
  </si>
  <si>
    <t>No. of days with fog at 0900 GMT</t>
  </si>
  <si>
    <t>No. of days with snow lying at 0900 GMT</t>
  </si>
  <si>
    <t>NOTES</t>
  </si>
  <si>
    <t>Difference from
 long period mean</t>
  </si>
  <si>
    <t>---</t>
  </si>
  <si>
    <t>Difference
 from
 long period 
mean</t>
  </si>
  <si>
    <t>Yellow denotes anomalies more than 1 standard deviation away from the long-term monthly mean</t>
  </si>
  <si>
    <t>School of Geography and the Environment, University of Oxford</t>
  </si>
  <si>
    <t>Orange denotes anomalies more than 2 standard deviations away from the long-term monthly mean</t>
  </si>
  <si>
    <t>Red denotes anomalies more than 3 standard deviations from the long-term monthly mean</t>
  </si>
  <si>
    <t>Notable Statistics</t>
  </si>
  <si>
    <t xml:space="preserve"> </t>
  </si>
  <si>
    <t>Annual Summary of Weather at Oxford for 2023</t>
  </si>
  <si>
    <t>5.1***</t>
  </si>
  <si>
    <t>RMS long term mean</t>
  </si>
  <si>
    <t>RMS long term
 standard deviation</t>
  </si>
  <si>
    <t>Fourth-wettest year since reliable daily rainfall records began (1827) with 929 mm, 137% greater than expected; wettest 2012 (979 mm)</t>
  </si>
  <si>
    <t>*** Bubbles in grass min temp therm</t>
  </si>
  <si>
    <t>2023 means</t>
  </si>
  <si>
    <r>
      <t>ATT  (</t>
    </r>
    <r>
      <rPr>
        <i/>
        <vertAlign val="superscript"/>
        <sz val="10"/>
        <rFont val="Arial"/>
        <family val="2"/>
      </rPr>
      <t>o</t>
    </r>
    <r>
      <rPr>
        <i/>
        <sz val="10"/>
        <rFont val="Arial"/>
        <family val="2"/>
      </rPr>
      <t>F</t>
    </r>
    <r>
      <rPr>
        <sz val="11"/>
        <rFont val="Calibri"/>
        <family val="2"/>
        <scheme val="minor"/>
      </rPr>
      <t>)</t>
    </r>
  </si>
  <si>
    <r>
      <t>BARO (</t>
    </r>
    <r>
      <rPr>
        <i/>
        <sz val="10"/>
        <rFont val="Arial"/>
        <family val="2"/>
      </rPr>
      <t>inches</t>
    </r>
    <r>
      <rPr>
        <sz val="11"/>
        <rFont val="Calibri"/>
        <family val="2"/>
        <scheme val="minor"/>
      </rPr>
      <t xml:space="preserve">, as read) </t>
    </r>
  </si>
  <si>
    <t>BARO (converted)</t>
  </si>
  <si>
    <t>Pmsl (mb) - Burt aneroid</t>
  </si>
  <si>
    <r>
      <t>R. hum. (</t>
    </r>
    <r>
      <rPr>
        <i/>
        <sz val="10"/>
        <rFont val="Arial"/>
        <family val="2"/>
      </rPr>
      <t>%</t>
    </r>
    <r>
      <rPr>
        <sz val="11"/>
        <rFont val="Calibri"/>
        <family val="2"/>
        <scheme val="minor"/>
      </rPr>
      <t>)</t>
    </r>
  </si>
  <si>
    <r>
      <t xml:space="preserve">Temperatures (in </t>
    </r>
    <r>
      <rPr>
        <i/>
        <vertAlign val="superscript"/>
        <sz val="10"/>
        <rFont val="Arial"/>
        <family val="2"/>
      </rPr>
      <t>o</t>
    </r>
    <r>
      <rPr>
        <i/>
        <sz val="10"/>
        <rFont val="Arial"/>
        <family val="2"/>
      </rPr>
      <t>C</t>
    </r>
    <r>
      <rPr>
        <sz val="11"/>
        <rFont val="Calibri"/>
        <family val="2"/>
        <scheme val="minor"/>
      </rPr>
      <t>)</t>
    </r>
  </si>
  <si>
    <r>
      <t>Rain (</t>
    </r>
    <r>
      <rPr>
        <i/>
        <sz val="10"/>
        <rFont val="Arial"/>
        <family val="2"/>
      </rPr>
      <t>mm</t>
    </r>
    <r>
      <rPr>
        <sz val="11"/>
        <rFont val="Calibri"/>
        <family val="2"/>
        <scheme val="minor"/>
      </rPr>
      <t>)</t>
    </r>
  </si>
  <si>
    <t>GRD</t>
  </si>
  <si>
    <t>Snow depth (cm)</t>
  </si>
  <si>
    <r>
      <t>Sun (</t>
    </r>
    <r>
      <rPr>
        <i/>
        <sz val="10"/>
        <rFont val="Arial"/>
        <family val="2"/>
      </rPr>
      <t>hrs</t>
    </r>
    <r>
      <rPr>
        <sz val="11"/>
        <rFont val="Calibri"/>
        <family val="2"/>
        <scheme val="minor"/>
      </rPr>
      <t>)</t>
    </r>
  </si>
  <si>
    <t>Vis.</t>
  </si>
  <si>
    <r>
      <t>Cloud (</t>
    </r>
    <r>
      <rPr>
        <i/>
        <sz val="10"/>
        <rFont val="Arial"/>
        <family val="2"/>
      </rPr>
      <t>okt</t>
    </r>
    <r>
      <rPr>
        <sz val="11"/>
        <rFont val="Calibri"/>
        <family val="2"/>
        <scheme val="minor"/>
      </rPr>
      <t>)</t>
    </r>
  </si>
  <si>
    <t>WEA</t>
  </si>
  <si>
    <r>
      <t>Wind speed (</t>
    </r>
    <r>
      <rPr>
        <i/>
        <sz val="10"/>
        <rFont val="Arial"/>
        <family val="2"/>
      </rPr>
      <t>kts</t>
    </r>
    <r>
      <rPr>
        <sz val="11"/>
        <rFont val="Calibri"/>
        <family val="2"/>
        <scheme val="minor"/>
      </rPr>
      <t>)</t>
    </r>
  </si>
  <si>
    <t>Corr. sfc. wind (knots)</t>
  </si>
  <si>
    <t>Dew-point</t>
  </si>
  <si>
    <t>Liquid in glass Dry</t>
  </si>
  <si>
    <t>Vaisala Dry</t>
  </si>
  <si>
    <t>Wet</t>
  </si>
  <si>
    <t>Vaisala max</t>
  </si>
  <si>
    <t>Mercury max</t>
  </si>
  <si>
    <t>Min</t>
  </si>
  <si>
    <t>Grass</t>
  </si>
  <si>
    <t>Conc.</t>
  </si>
  <si>
    <t>Ground</t>
  </si>
  <si>
    <t>Day</t>
  </si>
  <si>
    <t>10cm</t>
  </si>
  <si>
    <t>30cm</t>
  </si>
  <si>
    <t>1m</t>
  </si>
  <si>
    <t>02</t>
  </si>
  <si>
    <t>51</t>
  </si>
  <si>
    <t>20</t>
  </si>
  <si>
    <t>52</t>
  </si>
  <si>
    <t>55</t>
  </si>
  <si>
    <t>03</t>
  </si>
  <si>
    <t>53</t>
  </si>
  <si>
    <t>01</t>
  </si>
  <si>
    <t>50</t>
  </si>
  <si>
    <t>TR</t>
  </si>
  <si>
    <t>ERR</t>
  </si>
  <si>
    <t>tr</t>
  </si>
  <si>
    <t>45</t>
  </si>
  <si>
    <t>44</t>
  </si>
  <si>
    <t>26</t>
  </si>
  <si>
    <t>62</t>
  </si>
  <si>
    <t>63</t>
  </si>
  <si>
    <t>61</t>
  </si>
  <si>
    <t>25</t>
  </si>
  <si>
    <t>60</t>
  </si>
  <si>
    <t>10</t>
  </si>
  <si>
    <t>err</t>
  </si>
  <si>
    <t>21</t>
  </si>
  <si>
    <t>8.5</t>
  </si>
  <si>
    <t>25.7</t>
  </si>
  <si>
    <t>23.1</t>
  </si>
  <si>
    <t>18.3</t>
  </si>
  <si>
    <t>1</t>
  </si>
  <si>
    <t>81</t>
  </si>
  <si>
    <t>43</t>
  </si>
  <si>
    <t>Mean air</t>
  </si>
  <si>
    <t>Mean air temp</t>
  </si>
  <si>
    <t>temp</t>
  </si>
  <si>
    <t>Max max air</t>
  </si>
  <si>
    <t>Min max air</t>
  </si>
  <si>
    <t>Mean max</t>
  </si>
  <si>
    <t>Mean min</t>
  </si>
  <si>
    <t>Min min</t>
  </si>
  <si>
    <t>Mean soil</t>
  </si>
  <si>
    <t>100cm</t>
  </si>
  <si>
    <t>Total rain</t>
  </si>
  <si>
    <t>Max daily</t>
  </si>
  <si>
    <t>Total sunshire</t>
  </si>
  <si>
    <t>Mean daily</t>
  </si>
  <si>
    <t>Mean</t>
  </si>
  <si>
    <t>wind</t>
  </si>
  <si>
    <t>2023 Tmean 11.85 °C. Anomaly vs 1991-2020 +0.78 K and vs 1851-1900 +2.17 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</si>
</sst>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0.0"/>
    <numFmt numFmtId="165" formatCode="_-\£* #,##0.00_-;&quot;-£&quot;* #,##0.00_-;_-\£* \-??_-;_-@_-"/>
    <numFmt numFmtId="166" formatCode="_-* #,##0.0000_-;\-* #,##0.0000_-;_-* &quot;-&quot;??_-;_-@_-"/>
    <numFmt numFmtId="167" formatCode="0.000"/>
  </numFmts>
  <fonts count="44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8"/>
      <name val="Allegro BT"/>
      <family val="5"/>
    </font>
    <font>
      <vertAlign val="superscript"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  <charset val="1"/>
    </font>
    <font>
      <sz val="10"/>
      <color rgb="FF000000"/>
      <name val="Arial"/>
      <family val="2"/>
    </font>
    <font>
      <sz val="11"/>
      <name val="Calibri"/>
      <family val="2"/>
      <scheme val="minor"/>
    </font>
    <font>
      <i/>
      <vertAlign val="superscript"/>
      <sz val="10"/>
      <name val="Arial"/>
      <family val="2"/>
    </font>
    <font>
      <i/>
      <sz val="10"/>
      <name val="Arial"/>
      <family val="2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  <font>
      <sz val="11"/>
      <color rgb="FFFF0000"/>
      <name val="Calibri"/>
      <family val="2"/>
    </font>
    <font>
      <sz val="11"/>
      <color rgb="FF000000"/>
      <name val="Calibri"/>
      <family val="2"/>
    </font>
    <font>
      <sz val="11"/>
      <color theme="1"/>
      <name val="Calibri"/>
      <family val="2"/>
      <charset val="1"/>
    </font>
    <font>
      <u/>
      <sz val="11"/>
      <color rgb="FF000000"/>
      <name val="Calibri"/>
      <family val="2"/>
    </font>
    <font>
      <sz val="11"/>
      <color rgb="FF000000"/>
      <name val="Calibri"/>
      <family val="2"/>
      <scheme val="minor"/>
    </font>
    <font>
      <u/>
      <sz val="11"/>
      <color rgb="FF00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-0.2499465926084170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theme="0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/>
      <top style="thin">
        <color indexed="63"/>
      </top>
      <bottom/>
      <diagonal/>
    </border>
    <border>
      <left/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 style="thin">
        <color indexed="63"/>
      </right>
      <top/>
      <bottom/>
      <diagonal/>
    </border>
    <border>
      <left style="thin">
        <color indexed="63"/>
      </left>
      <right/>
      <top/>
      <bottom style="thin">
        <color indexed="63"/>
      </bottom>
      <diagonal/>
    </border>
    <border>
      <left/>
      <right/>
      <top/>
      <bottom style="thin">
        <color indexed="63"/>
      </bottom>
      <diagonal/>
    </border>
    <border>
      <left/>
      <right style="thin">
        <color indexed="63"/>
      </right>
      <top/>
      <bottom style="thin">
        <color indexed="63"/>
      </bottom>
      <diagonal/>
    </border>
    <border>
      <left/>
      <right style="thin">
        <color indexed="63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3"/>
      </left>
      <right style="thin">
        <color indexed="63"/>
      </right>
      <top/>
      <bottom style="thin">
        <color rgb="FF000000"/>
      </bottom>
      <diagonal/>
    </border>
    <border>
      <left/>
      <right style="thin">
        <color indexed="63"/>
      </right>
      <top/>
      <bottom style="thin">
        <color rgb="FF000000"/>
      </bottom>
      <diagonal/>
    </border>
    <border>
      <left style="thin">
        <color indexed="63"/>
      </left>
      <right/>
      <top/>
      <bottom/>
      <diagonal/>
    </border>
    <border>
      <left style="thin">
        <color indexed="63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/>
      <diagonal/>
    </border>
  </borders>
  <cellStyleXfs count="61">
    <xf numFmtId="0" fontId="0" fillId="0" borderId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2" borderId="0" applyNumberFormat="0" applyBorder="0" applyAlignment="0" applyProtection="0"/>
    <xf numFmtId="0" fontId="14" fillId="3" borderId="0" applyNumberFormat="0" applyBorder="0" applyAlignment="0" applyProtection="0"/>
    <xf numFmtId="0" fontId="15" fillId="4" borderId="0" applyNumberFormat="0" applyBorder="0" applyAlignment="0" applyProtection="0"/>
    <xf numFmtId="0" fontId="16" fillId="5" borderId="5" applyNumberFormat="0" applyAlignment="0" applyProtection="0"/>
    <xf numFmtId="0" fontId="17" fillId="6" borderId="6" applyNumberFormat="0" applyAlignment="0" applyProtection="0"/>
    <xf numFmtId="0" fontId="18" fillId="6" borderId="5" applyNumberFormat="0" applyAlignment="0" applyProtection="0"/>
    <xf numFmtId="0" fontId="19" fillId="0" borderId="7" applyNumberFormat="0" applyFill="0" applyAlignment="0" applyProtection="0"/>
    <xf numFmtId="0" fontId="20" fillId="7" borderId="8" applyNumberFormat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10" applyNumberFormat="0" applyFill="0" applyAlignment="0" applyProtection="0"/>
    <xf numFmtId="0" fontId="24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4" fillId="32" borderId="0" applyNumberFormat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Border="0" applyProtection="0"/>
    <xf numFmtId="0" fontId="25" fillId="0" borderId="0"/>
    <xf numFmtId="165" fontId="25" fillId="0" borderId="0" applyBorder="0" applyProtection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9" applyNumberFormat="0" applyFont="0" applyAlignment="0" applyProtection="0"/>
    <xf numFmtId="43" fontId="3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32" fillId="0" borderId="0"/>
  </cellStyleXfs>
  <cellXfs count="433">
    <xf numFmtId="0" fontId="0" fillId="0" borderId="0" xfId="0"/>
    <xf numFmtId="164" fontId="0" fillId="0" borderId="0" xfId="0" applyNumberFormat="1"/>
    <xf numFmtId="164" fontId="4" fillId="0" borderId="0" xfId="0" applyNumberFormat="1" applyFont="1"/>
    <xf numFmtId="164" fontId="0" fillId="0" borderId="0" xfId="0" applyNumberFormat="1" applyAlignment="1">
      <alignment horizontal="right"/>
    </xf>
    <xf numFmtId="164" fontId="7" fillId="0" borderId="0" xfId="0" applyNumberFormat="1" applyFont="1" applyAlignment="1">
      <alignment horizontal="center"/>
    </xf>
    <xf numFmtId="164" fontId="7" fillId="0" borderId="0" xfId="0" applyNumberFormat="1" applyFont="1"/>
    <xf numFmtId="164" fontId="0" fillId="0" borderId="0" xfId="0" applyNumberFormat="1" applyAlignment="1">
      <alignment horizontal="left"/>
    </xf>
    <xf numFmtId="166" fontId="0" fillId="0" borderId="0" xfId="57" applyNumberFormat="1" applyFont="1" applyFill="1" applyBorder="1" applyAlignment="1">
      <alignment horizontal="right"/>
    </xf>
    <xf numFmtId="0" fontId="0" fillId="33" borderId="1" xfId="0" applyFill="1" applyBorder="1"/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4" fillId="0" borderId="1" xfId="0" applyNumberFormat="1" applyFont="1" applyBorder="1" applyAlignment="1">
      <alignment horizontal="center" vertical="center"/>
    </xf>
    <xf numFmtId="164" fontId="4" fillId="33" borderId="1" xfId="0" applyNumberFormat="1" applyFont="1" applyFill="1" applyBorder="1" applyAlignment="1">
      <alignment horizontal="center" vertical="center" wrapText="1"/>
    </xf>
    <xf numFmtId="0" fontId="4" fillId="0" borderId="0" xfId="0" applyFont="1"/>
    <xf numFmtId="0" fontId="0" fillId="36" borderId="0" xfId="0" applyFill="1"/>
    <xf numFmtId="0" fontId="0" fillId="34" borderId="0" xfId="0" applyFill="1"/>
    <xf numFmtId="164" fontId="5" fillId="0" borderId="0" xfId="0" applyNumberFormat="1" applyFont="1"/>
    <xf numFmtId="164" fontId="3" fillId="0" borderId="0" xfId="0" applyNumberFormat="1" applyFont="1"/>
    <xf numFmtId="0" fontId="4" fillId="0" borderId="0" xfId="0" applyFon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left" vertical="center"/>
    </xf>
    <xf numFmtId="0" fontId="0" fillId="0" borderId="1" xfId="0" applyBorder="1"/>
    <xf numFmtId="164" fontId="4" fillId="0" borderId="1" xfId="0" applyNumberFormat="1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/>
    </xf>
    <xf numFmtId="164" fontId="26" fillId="0" borderId="1" xfId="0" applyNumberFormat="1" applyFont="1" applyBorder="1" applyAlignment="1">
      <alignment horizontal="center"/>
    </xf>
    <xf numFmtId="164" fontId="26" fillId="0" borderId="1" xfId="0" applyNumberFormat="1" applyFont="1" applyBorder="1" applyAlignment="1">
      <alignment horizontal="center" vertical="center" wrapText="1"/>
    </xf>
    <xf numFmtId="164" fontId="7" fillId="0" borderId="1" xfId="0" quotePrefix="1" applyNumberFormat="1" applyFont="1" applyBorder="1" applyAlignment="1">
      <alignment horizontal="center"/>
    </xf>
    <xf numFmtId="164" fontId="26" fillId="0" borderId="11" xfId="0" applyNumberFormat="1" applyFont="1" applyBorder="1" applyAlignment="1">
      <alignment horizontal="center" vertical="center" wrapText="1"/>
    </xf>
    <xf numFmtId="164" fontId="26" fillId="0" borderId="14" xfId="0" applyNumberFormat="1" applyFont="1" applyBorder="1" applyAlignment="1">
      <alignment horizontal="center"/>
    </xf>
    <xf numFmtId="164" fontId="26" fillId="0" borderId="13" xfId="0" applyNumberFormat="1" applyFont="1" applyBorder="1" applyAlignment="1">
      <alignment horizontal="center"/>
    </xf>
    <xf numFmtId="164" fontId="26" fillId="0" borderId="12" xfId="0" applyNumberFormat="1" applyFont="1" applyBorder="1" applyAlignment="1">
      <alignment horizontal="center"/>
    </xf>
    <xf numFmtId="0" fontId="3" fillId="0" borderId="0" xfId="0" applyFont="1" applyAlignment="1">
      <alignment horizontal="right"/>
    </xf>
    <xf numFmtId="164" fontId="7" fillId="0" borderId="0" xfId="0" applyNumberFormat="1" applyFont="1" applyAlignment="1">
      <alignment horizontal="right"/>
    </xf>
    <xf numFmtId="0" fontId="0" fillId="0" borderId="0" xfId="0" applyAlignment="1">
      <alignment horizontal="left"/>
    </xf>
    <xf numFmtId="16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/>
    </xf>
    <xf numFmtId="164" fontId="26" fillId="37" borderId="1" xfId="0" applyNumberFormat="1" applyFont="1" applyFill="1" applyBorder="1" applyAlignment="1">
      <alignment horizontal="center" vertical="center" wrapText="1"/>
    </xf>
    <xf numFmtId="164" fontId="0" fillId="37" borderId="0" xfId="0" applyNumberFormat="1" applyFill="1"/>
    <xf numFmtId="164" fontId="26" fillId="36" borderId="1" xfId="0" applyNumberFormat="1" applyFont="1" applyFill="1" applyBorder="1" applyAlignment="1">
      <alignment horizontal="center" vertical="center" wrapText="1"/>
    </xf>
    <xf numFmtId="164" fontId="0" fillId="36" borderId="1" xfId="0" applyNumberFormat="1" applyFill="1" applyBorder="1" applyAlignment="1">
      <alignment horizontal="center" vertical="center" wrapText="1"/>
    </xf>
    <xf numFmtId="164" fontId="26" fillId="34" borderId="1" xfId="0" applyNumberFormat="1" applyFont="1" applyFill="1" applyBorder="1" applyAlignment="1">
      <alignment horizontal="center" vertical="center" wrapText="1"/>
    </xf>
    <xf numFmtId="164" fontId="0" fillId="37" borderId="1" xfId="0" applyNumberFormat="1" applyFill="1" applyBorder="1" applyAlignment="1">
      <alignment horizontal="center" vertical="center" wrapText="1"/>
    </xf>
    <xf numFmtId="164" fontId="27" fillId="0" borderId="23" xfId="58" applyNumberFormat="1" applyFont="1" applyBorder="1" applyAlignment="1">
      <alignment horizontal="center" vertical="center"/>
    </xf>
    <xf numFmtId="164" fontId="27" fillId="0" borderId="23" xfId="58" applyNumberFormat="1" applyFont="1" applyBorder="1" applyAlignment="1">
      <alignment horizontal="center"/>
    </xf>
    <xf numFmtId="164" fontId="27" fillId="0" borderId="25" xfId="58" applyNumberFormat="1" applyFont="1" applyBorder="1" applyAlignment="1">
      <alignment horizontal="center" vertical="center"/>
    </xf>
    <xf numFmtId="1" fontId="27" fillId="0" borderId="23" xfId="58" applyNumberFormat="1" applyFont="1" applyBorder="1" applyAlignment="1">
      <alignment horizontal="center" vertical="center"/>
    </xf>
    <xf numFmtId="2" fontId="27" fillId="0" borderId="23" xfId="58" applyNumberFormat="1" applyFont="1" applyBorder="1" applyAlignment="1">
      <alignment horizontal="center" vertical="center"/>
    </xf>
    <xf numFmtId="49" fontId="27" fillId="0" borderId="23" xfId="58" applyNumberFormat="1" applyFont="1" applyBorder="1" applyAlignment="1">
      <alignment horizontal="center" vertical="center"/>
    </xf>
    <xf numFmtId="164" fontId="27" fillId="0" borderId="24" xfId="58" applyNumberFormat="1" applyFont="1" applyBorder="1" applyAlignment="1">
      <alignment horizontal="center" vertical="center"/>
    </xf>
    <xf numFmtId="164" fontId="30" fillId="0" borderId="23" xfId="58" quotePrefix="1" applyNumberFormat="1" applyFont="1" applyBorder="1"/>
    <xf numFmtId="164" fontId="31" fillId="0" borderId="23" xfId="58" applyNumberFormat="1" applyFont="1" applyBorder="1" applyAlignment="1">
      <alignment horizontal="center" vertical="center"/>
    </xf>
    <xf numFmtId="0" fontId="31" fillId="0" borderId="0" xfId="58" applyFont="1" applyAlignment="1">
      <alignment horizontal="center"/>
    </xf>
    <xf numFmtId="164" fontId="31" fillId="0" borderId="23" xfId="58" applyNumberFormat="1" applyFont="1" applyBorder="1" applyAlignment="1">
      <alignment horizontal="center"/>
    </xf>
    <xf numFmtId="0" fontId="31" fillId="0" borderId="0" xfId="58" applyFont="1"/>
    <xf numFmtId="164" fontId="31" fillId="0" borderId="26" xfId="58" applyNumberFormat="1" applyFont="1" applyBorder="1" applyAlignment="1">
      <alignment horizontal="center" vertical="center"/>
    </xf>
    <xf numFmtId="167" fontId="27" fillId="0" borderId="27" xfId="58" applyNumberFormat="1" applyFont="1" applyBorder="1" applyAlignment="1">
      <alignment horizontal="center" vertical="center"/>
    </xf>
    <xf numFmtId="164" fontId="30" fillId="0" borderId="25" xfId="58" quotePrefix="1" applyNumberFormat="1" applyFont="1" applyBorder="1"/>
    <xf numFmtId="164" fontId="31" fillId="0" borderId="27" xfId="58" applyNumberFormat="1" applyFont="1" applyBorder="1" applyAlignment="1">
      <alignment horizontal="center" vertical="center"/>
    </xf>
    <xf numFmtId="164" fontId="30" fillId="0" borderId="24" xfId="58" quotePrefix="1" applyNumberFormat="1" applyFont="1" applyBorder="1"/>
    <xf numFmtId="0" fontId="31" fillId="0" borderId="23" xfId="58" applyFont="1" applyBorder="1" applyAlignment="1">
      <alignment horizontal="center"/>
    </xf>
    <xf numFmtId="164" fontId="31" fillId="0" borderId="25" xfId="58" applyNumberFormat="1" applyFont="1" applyBorder="1" applyAlignment="1">
      <alignment horizontal="center" vertical="center"/>
    </xf>
    <xf numFmtId="167" fontId="1" fillId="0" borderId="23" xfId="58" applyNumberFormat="1" applyBorder="1" applyAlignment="1">
      <alignment horizontal="center"/>
    </xf>
    <xf numFmtId="0" fontId="31" fillId="0" borderId="18" xfId="58" applyFont="1" applyBorder="1" applyAlignment="1">
      <alignment wrapText="1"/>
    </xf>
    <xf numFmtId="0" fontId="27" fillId="0" borderId="18" xfId="58" applyFont="1" applyBorder="1" applyAlignment="1">
      <alignment wrapText="1"/>
    </xf>
    <xf numFmtId="164" fontId="21" fillId="0" borderId="23" xfId="58" applyNumberFormat="1" applyFont="1" applyBorder="1" applyAlignment="1">
      <alignment horizontal="center" vertical="center"/>
    </xf>
    <xf numFmtId="167" fontId="31" fillId="0" borderId="23" xfId="58" applyNumberFormat="1" applyFont="1" applyBorder="1" applyAlignment="1">
      <alignment horizontal="center" vertical="center"/>
    </xf>
    <xf numFmtId="167" fontId="31" fillId="0" borderId="24" xfId="58" applyNumberFormat="1" applyFont="1" applyBorder="1" applyAlignment="1">
      <alignment horizontal="center" vertical="center"/>
    </xf>
    <xf numFmtId="167" fontId="31" fillId="0" borderId="26" xfId="58" applyNumberFormat="1" applyFont="1" applyBorder="1" applyAlignment="1">
      <alignment horizontal="center" vertical="center"/>
    </xf>
    <xf numFmtId="167" fontId="31" fillId="0" borderId="23" xfId="58" applyNumberFormat="1" applyFont="1" applyBorder="1" applyAlignment="1">
      <alignment horizontal="center"/>
    </xf>
    <xf numFmtId="167" fontId="31" fillId="0" borderId="27" xfId="58" applyNumberFormat="1" applyFont="1" applyBorder="1" applyAlignment="1">
      <alignment horizontal="center" vertical="center"/>
    </xf>
    <xf numFmtId="164" fontId="1" fillId="0" borderId="26" xfId="58" applyNumberFormat="1" applyBorder="1" applyAlignment="1">
      <alignment horizontal="center" vertical="center"/>
    </xf>
    <xf numFmtId="1" fontId="31" fillId="0" borderId="23" xfId="58" applyNumberFormat="1" applyFont="1" applyBorder="1" applyAlignment="1">
      <alignment horizontal="center" vertical="center"/>
    </xf>
    <xf numFmtId="164" fontId="31" fillId="0" borderId="25" xfId="58" applyNumberFormat="1" applyFont="1" applyBorder="1" applyAlignment="1">
      <alignment horizontal="center"/>
    </xf>
    <xf numFmtId="164" fontId="31" fillId="0" borderId="29" xfId="58" applyNumberFormat="1" applyFont="1" applyBorder="1" applyAlignment="1">
      <alignment horizontal="center" vertical="center"/>
    </xf>
    <xf numFmtId="1" fontId="31" fillId="0" borderId="26" xfId="58" applyNumberFormat="1" applyFont="1" applyBorder="1" applyAlignment="1">
      <alignment horizontal="center" vertical="center"/>
    </xf>
    <xf numFmtId="164" fontId="31" fillId="0" borderId="28" xfId="58" applyNumberFormat="1" applyFont="1" applyBorder="1" applyAlignment="1">
      <alignment horizontal="center" vertical="center"/>
    </xf>
    <xf numFmtId="0" fontId="31" fillId="0" borderId="25" xfId="58" applyFont="1" applyBorder="1" applyAlignment="1">
      <alignment horizontal="center" vertical="center"/>
    </xf>
    <xf numFmtId="164" fontId="31" fillId="0" borderId="31" xfId="58" applyNumberFormat="1" applyFont="1" applyBorder="1" applyAlignment="1">
      <alignment horizontal="center" vertical="center"/>
    </xf>
    <xf numFmtId="1" fontId="31" fillId="0" borderId="39" xfId="58" applyNumberFormat="1" applyFont="1" applyBorder="1" applyAlignment="1">
      <alignment horizontal="center" vertical="center"/>
    </xf>
    <xf numFmtId="0" fontId="31" fillId="0" borderId="27" xfId="58" applyFont="1" applyBorder="1" applyAlignment="1">
      <alignment horizontal="center"/>
    </xf>
    <xf numFmtId="0" fontId="31" fillId="0" borderId="23" xfId="58" applyFont="1" applyBorder="1" applyAlignment="1">
      <alignment horizontal="center" vertical="center"/>
    </xf>
    <xf numFmtId="164" fontId="31" fillId="0" borderId="32" xfId="58" applyNumberFormat="1" applyFont="1" applyBorder="1" applyAlignment="1">
      <alignment horizontal="center" vertical="center"/>
    </xf>
    <xf numFmtId="164" fontId="31" fillId="0" borderId="27" xfId="58" applyNumberFormat="1" applyFont="1" applyBorder="1" applyAlignment="1">
      <alignment horizontal="center"/>
    </xf>
    <xf numFmtId="1" fontId="31" fillId="0" borderId="27" xfId="58" applyNumberFormat="1" applyFont="1" applyBorder="1" applyAlignment="1">
      <alignment horizontal="center" vertical="center"/>
    </xf>
    <xf numFmtId="164" fontId="30" fillId="0" borderId="12" xfId="58" quotePrefix="1" applyNumberFormat="1" applyFont="1" applyBorder="1"/>
    <xf numFmtId="164" fontId="30" fillId="0" borderId="13" xfId="58" quotePrefix="1" applyNumberFormat="1" applyFont="1" applyBorder="1"/>
    <xf numFmtId="164" fontId="30" fillId="0" borderId="33" xfId="58" quotePrefix="1" applyNumberFormat="1" applyFont="1" applyBorder="1"/>
    <xf numFmtId="164" fontId="30" fillId="0" borderId="34" xfId="58" quotePrefix="1" applyNumberFormat="1" applyFont="1" applyBorder="1"/>
    <xf numFmtId="2" fontId="31" fillId="0" borderId="23" xfId="58" applyNumberFormat="1" applyFont="1" applyBorder="1" applyAlignment="1">
      <alignment horizontal="center" vertical="center"/>
    </xf>
    <xf numFmtId="49" fontId="31" fillId="0" borderId="23" xfId="58" applyNumberFormat="1" applyFont="1" applyBorder="1" applyAlignment="1">
      <alignment horizontal="center" vertical="center"/>
    </xf>
    <xf numFmtId="164" fontId="31" fillId="0" borderId="24" xfId="58" applyNumberFormat="1" applyFont="1" applyBorder="1" applyAlignment="1">
      <alignment horizontal="center" vertical="center"/>
    </xf>
    <xf numFmtId="164" fontId="31" fillId="0" borderId="24" xfId="58" applyNumberFormat="1" applyFont="1" applyBorder="1" applyAlignment="1">
      <alignment horizontal="center"/>
    </xf>
    <xf numFmtId="2" fontId="31" fillId="0" borderId="23" xfId="58" applyNumberFormat="1" applyFont="1" applyBorder="1" applyAlignment="1">
      <alignment horizontal="center"/>
    </xf>
    <xf numFmtId="2" fontId="31" fillId="0" borderId="26" xfId="58" applyNumberFormat="1" applyFont="1" applyBorder="1" applyAlignment="1">
      <alignment horizontal="center" vertical="center"/>
    </xf>
    <xf numFmtId="49" fontId="31" fillId="0" borderId="26" xfId="58" applyNumberFormat="1" applyFont="1" applyBorder="1" applyAlignment="1">
      <alignment horizontal="center" vertical="center"/>
    </xf>
    <xf numFmtId="2" fontId="31" fillId="0" borderId="31" xfId="58" applyNumberFormat="1" applyFont="1" applyBorder="1" applyAlignment="1">
      <alignment horizontal="center" vertical="center"/>
    </xf>
    <xf numFmtId="164" fontId="30" fillId="0" borderId="26" xfId="58" quotePrefix="1" applyNumberFormat="1" applyFont="1" applyBorder="1"/>
    <xf numFmtId="49" fontId="31" fillId="0" borderId="23" xfId="58" applyNumberFormat="1" applyFont="1" applyBorder="1" applyAlignment="1">
      <alignment horizontal="center"/>
    </xf>
    <xf numFmtId="164" fontId="30" fillId="0" borderId="23" xfId="58" quotePrefix="1" applyNumberFormat="1" applyFont="1" applyBorder="1" applyAlignment="1">
      <alignment horizontal="right"/>
    </xf>
    <xf numFmtId="164" fontId="31" fillId="0" borderId="30" xfId="58" applyNumberFormat="1" applyFont="1" applyBorder="1" applyAlignment="1">
      <alignment horizontal="center" vertical="center"/>
    </xf>
    <xf numFmtId="2" fontId="31" fillId="0" borderId="27" xfId="58" applyNumberFormat="1" applyFont="1" applyBorder="1" applyAlignment="1">
      <alignment horizontal="center"/>
    </xf>
    <xf numFmtId="0" fontId="31" fillId="0" borderId="27" xfId="58" applyFont="1" applyBorder="1" applyAlignment="1">
      <alignment horizontal="center" vertical="center"/>
    </xf>
    <xf numFmtId="49" fontId="31" fillId="0" borderId="27" xfId="58" applyNumberFormat="1" applyFont="1" applyBorder="1" applyAlignment="1">
      <alignment horizontal="center" vertical="center"/>
    </xf>
    <xf numFmtId="164" fontId="30" fillId="0" borderId="27" xfId="58" quotePrefix="1" applyNumberFormat="1" applyFont="1" applyBorder="1"/>
    <xf numFmtId="1" fontId="31" fillId="0" borderId="29" xfId="58" applyNumberFormat="1" applyFont="1" applyBorder="1" applyAlignment="1">
      <alignment horizontal="center" vertical="center"/>
    </xf>
    <xf numFmtId="0" fontId="27" fillId="0" borderId="15" xfId="58" applyFont="1" applyBorder="1" applyAlignment="1">
      <alignment horizontal="center" wrapText="1"/>
    </xf>
    <xf numFmtId="164" fontId="27" fillId="0" borderId="15" xfId="58" applyNumberFormat="1" applyFont="1" applyBorder="1" applyAlignment="1">
      <alignment horizontal="center" wrapText="1"/>
    </xf>
    <xf numFmtId="164" fontId="27" fillId="0" borderId="26" xfId="58" applyNumberFormat="1" applyFont="1" applyBorder="1" applyAlignment="1">
      <alignment horizontal="center" vertical="center"/>
    </xf>
    <xf numFmtId="164" fontId="21" fillId="0" borderId="27" xfId="58" applyNumberFormat="1" applyFont="1" applyBorder="1" applyAlignment="1">
      <alignment horizontal="center" vertical="center"/>
    </xf>
    <xf numFmtId="0" fontId="34" fillId="0" borderId="0" xfId="60" applyFont="1" applyAlignment="1">
      <alignment horizontal="center"/>
    </xf>
    <xf numFmtId="167" fontId="33" fillId="0" borderId="23" xfId="60" applyNumberFormat="1" applyFont="1" applyBorder="1" applyAlignment="1">
      <alignment horizontal="center"/>
    </xf>
    <xf numFmtId="164" fontId="33" fillId="0" borderId="26" xfId="60" applyNumberFormat="1" applyFont="1" applyBorder="1" applyAlignment="1">
      <alignment horizontal="center" vertical="center"/>
    </xf>
    <xf numFmtId="164" fontId="34" fillId="0" borderId="25" xfId="60" applyNumberFormat="1" applyFont="1" applyBorder="1"/>
    <xf numFmtId="164" fontId="33" fillId="0" borderId="25" xfId="60" applyNumberFormat="1" applyFont="1" applyBorder="1" applyAlignment="1">
      <alignment horizontal="center" vertical="center"/>
    </xf>
    <xf numFmtId="164" fontId="33" fillId="0" borderId="23" xfId="60" applyNumberFormat="1" applyFont="1" applyBorder="1" applyAlignment="1">
      <alignment horizontal="center" vertical="center"/>
    </xf>
    <xf numFmtId="164" fontId="35" fillId="0" borderId="23" xfId="60" applyNumberFormat="1" applyFont="1" applyBorder="1" applyAlignment="1">
      <alignment horizontal="center" vertical="center"/>
    </xf>
    <xf numFmtId="164" fontId="33" fillId="0" borderId="23" xfId="60" applyNumberFormat="1" applyFont="1" applyBorder="1" applyAlignment="1">
      <alignment horizontal="center"/>
    </xf>
    <xf numFmtId="1" fontId="33" fillId="0" borderId="23" xfId="60" applyNumberFormat="1" applyFont="1" applyBorder="1" applyAlignment="1">
      <alignment horizontal="center" vertical="center"/>
    </xf>
    <xf numFmtId="2" fontId="34" fillId="0" borderId="23" xfId="60" applyNumberFormat="1" applyFont="1" applyBorder="1" applyAlignment="1">
      <alignment horizontal="center" vertical="center"/>
    </xf>
    <xf numFmtId="49" fontId="33" fillId="0" borderId="23" xfId="60" applyNumberFormat="1" applyFont="1" applyBorder="1" applyAlignment="1">
      <alignment horizontal="center" vertical="center"/>
    </xf>
    <xf numFmtId="164" fontId="33" fillId="0" borderId="24" xfId="60" applyNumberFormat="1" applyFont="1" applyBorder="1" applyAlignment="1">
      <alignment horizontal="center" vertical="center"/>
    </xf>
    <xf numFmtId="164" fontId="34" fillId="0" borderId="23" xfId="60" applyNumberFormat="1" applyFont="1" applyBorder="1"/>
    <xf numFmtId="167" fontId="33" fillId="0" borderId="27" xfId="60" applyNumberFormat="1" applyFont="1" applyBorder="1" applyAlignment="1">
      <alignment horizontal="center" vertical="center"/>
    </xf>
    <xf numFmtId="167" fontId="34" fillId="0" borderId="23" xfId="60" applyNumberFormat="1" applyFont="1" applyBorder="1" applyAlignment="1">
      <alignment horizontal="center" vertical="center"/>
    </xf>
    <xf numFmtId="0" fontId="34" fillId="0" borderId="23" xfId="60" applyFont="1" applyBorder="1" applyAlignment="1">
      <alignment horizontal="center"/>
    </xf>
    <xf numFmtId="164" fontId="34" fillId="0" borderId="25" xfId="60" applyNumberFormat="1" applyFont="1" applyBorder="1" applyAlignment="1">
      <alignment horizontal="center"/>
    </xf>
    <xf numFmtId="164" fontId="34" fillId="0" borderId="23" xfId="60" applyNumberFormat="1" applyFont="1" applyBorder="1" applyAlignment="1">
      <alignment horizontal="center" vertical="center"/>
    </xf>
    <xf numFmtId="164" fontId="34" fillId="0" borderId="23" xfId="60" applyNumberFormat="1" applyFont="1" applyBorder="1" applyAlignment="1">
      <alignment horizontal="center"/>
    </xf>
    <xf numFmtId="167" fontId="34" fillId="0" borderId="24" xfId="60" applyNumberFormat="1" applyFont="1" applyBorder="1" applyAlignment="1">
      <alignment horizontal="center" vertical="center"/>
    </xf>
    <xf numFmtId="164" fontId="34" fillId="0" borderId="25" xfId="60" applyNumberFormat="1" applyFont="1" applyBorder="1" applyAlignment="1">
      <alignment horizontal="center" vertical="center"/>
    </xf>
    <xf numFmtId="1" fontId="34" fillId="0" borderId="23" xfId="60" applyNumberFormat="1" applyFont="1" applyBorder="1" applyAlignment="1">
      <alignment horizontal="center" vertical="center"/>
    </xf>
    <xf numFmtId="0" fontId="34" fillId="0" borderId="0" xfId="60" applyFont="1"/>
    <xf numFmtId="49" fontId="34" fillId="0" borderId="23" xfId="60" applyNumberFormat="1" applyFont="1" applyBorder="1" applyAlignment="1">
      <alignment horizontal="center" vertical="center"/>
    </xf>
    <xf numFmtId="164" fontId="34" fillId="0" borderId="24" xfId="60" applyNumberFormat="1" applyFont="1" applyBorder="1" applyAlignment="1">
      <alignment horizontal="center" vertical="center"/>
    </xf>
    <xf numFmtId="2" fontId="34" fillId="0" borderId="23" xfId="60" applyNumberFormat="1" applyFont="1" applyBorder="1" applyAlignment="1">
      <alignment horizontal="center"/>
    </xf>
    <xf numFmtId="164" fontId="34" fillId="0" borderId="26" xfId="60" applyNumberFormat="1" applyFont="1" applyBorder="1" applyAlignment="1">
      <alignment horizontal="center" vertical="center"/>
    </xf>
    <xf numFmtId="167" fontId="34" fillId="0" borderId="26" xfId="60" applyNumberFormat="1" applyFont="1" applyBorder="1" applyAlignment="1">
      <alignment horizontal="center" vertical="center"/>
    </xf>
    <xf numFmtId="164" fontId="34" fillId="0" borderId="29" xfId="60" applyNumberFormat="1" applyFont="1" applyBorder="1" applyAlignment="1">
      <alignment horizontal="center" vertical="center"/>
    </xf>
    <xf numFmtId="1" fontId="34" fillId="0" borderId="26" xfId="60" applyNumberFormat="1" applyFont="1" applyBorder="1" applyAlignment="1">
      <alignment horizontal="center" vertical="center"/>
    </xf>
    <xf numFmtId="2" fontId="34" fillId="0" borderId="26" xfId="60" applyNumberFormat="1" applyFont="1" applyBorder="1" applyAlignment="1">
      <alignment horizontal="center" vertical="center"/>
    </xf>
    <xf numFmtId="49" fontId="34" fillId="0" borderId="26" xfId="60" applyNumberFormat="1" applyFont="1" applyBorder="1" applyAlignment="1">
      <alignment horizontal="center" vertical="center"/>
    </xf>
    <xf numFmtId="164" fontId="34" fillId="0" borderId="28" xfId="60" applyNumberFormat="1" applyFont="1" applyBorder="1" applyAlignment="1">
      <alignment horizontal="center" vertical="center"/>
    </xf>
    <xf numFmtId="0" fontId="34" fillId="0" borderId="25" xfId="60" applyFont="1" applyBorder="1" applyAlignment="1">
      <alignment horizontal="center" vertical="center"/>
    </xf>
    <xf numFmtId="1" fontId="34" fillId="0" borderId="29" xfId="60" applyNumberFormat="1" applyFont="1" applyBorder="1" applyAlignment="1">
      <alignment horizontal="center" vertical="center"/>
    </xf>
    <xf numFmtId="164" fontId="34" fillId="0" borderId="31" xfId="60" applyNumberFormat="1" applyFont="1" applyBorder="1" applyAlignment="1">
      <alignment horizontal="center" vertical="center"/>
    </xf>
    <xf numFmtId="1" fontId="34" fillId="0" borderId="39" xfId="60" applyNumberFormat="1" applyFont="1" applyBorder="1" applyAlignment="1">
      <alignment horizontal="center" vertical="center"/>
    </xf>
    <xf numFmtId="2" fontId="34" fillId="0" borderId="31" xfId="60" applyNumberFormat="1" applyFont="1" applyBorder="1" applyAlignment="1">
      <alignment horizontal="center" vertical="center"/>
    </xf>
    <xf numFmtId="164" fontId="34" fillId="0" borderId="26" xfId="60" applyNumberFormat="1" applyFont="1" applyBorder="1"/>
    <xf numFmtId="164" fontId="34" fillId="0" borderId="40" xfId="60" applyNumberFormat="1" applyFont="1" applyBorder="1"/>
    <xf numFmtId="0" fontId="34" fillId="0" borderId="27" xfId="60" applyFont="1" applyBorder="1" applyAlignment="1">
      <alignment horizontal="center"/>
    </xf>
    <xf numFmtId="167" fontId="34" fillId="0" borderId="23" xfId="60" applyNumberFormat="1" applyFont="1" applyBorder="1" applyAlignment="1">
      <alignment horizontal="center"/>
    </xf>
    <xf numFmtId="164" fontId="34" fillId="0" borderId="41" xfId="60" applyNumberFormat="1" applyFont="1" applyBorder="1"/>
    <xf numFmtId="0" fontId="34" fillId="0" borderId="23" xfId="60" applyFont="1" applyBorder="1" applyAlignment="1">
      <alignment horizontal="center" vertical="center"/>
    </xf>
    <xf numFmtId="49" fontId="34" fillId="0" borderId="23" xfId="60" applyNumberFormat="1" applyFont="1" applyBorder="1" applyAlignment="1">
      <alignment horizontal="center"/>
    </xf>
    <xf numFmtId="164" fontId="34" fillId="0" borderId="23" xfId="60" applyNumberFormat="1" applyFont="1" applyBorder="1" applyAlignment="1">
      <alignment horizontal="right"/>
    </xf>
    <xf numFmtId="164" fontId="34" fillId="0" borderId="27" xfId="60" applyNumberFormat="1" applyFont="1" applyBorder="1" applyAlignment="1">
      <alignment horizontal="center" vertical="center"/>
    </xf>
    <xf numFmtId="167" fontId="34" fillId="0" borderId="27" xfId="60" applyNumberFormat="1" applyFont="1" applyBorder="1" applyAlignment="1">
      <alignment horizontal="center" vertical="center"/>
    </xf>
    <xf numFmtId="164" fontId="34" fillId="0" borderId="24" xfId="60" applyNumberFormat="1" applyFont="1" applyBorder="1"/>
    <xf numFmtId="164" fontId="34" fillId="0" borderId="32" xfId="60" applyNumberFormat="1" applyFont="1" applyBorder="1" applyAlignment="1">
      <alignment horizontal="center" vertical="center"/>
    </xf>
    <xf numFmtId="164" fontId="34" fillId="0" borderId="27" xfId="60" applyNumberFormat="1" applyFont="1" applyBorder="1" applyAlignment="1">
      <alignment horizontal="center"/>
    </xf>
    <xf numFmtId="1" fontId="34" fillId="0" borderId="27" xfId="60" applyNumberFormat="1" applyFont="1" applyBorder="1" applyAlignment="1">
      <alignment horizontal="center" vertical="center"/>
    </xf>
    <xf numFmtId="2" fontId="34" fillId="0" borderId="27" xfId="60" applyNumberFormat="1" applyFont="1" applyBorder="1" applyAlignment="1">
      <alignment horizontal="center"/>
    </xf>
    <xf numFmtId="0" fontId="34" fillId="0" borderId="27" xfId="60" applyFont="1" applyBorder="1" applyAlignment="1">
      <alignment horizontal="center" vertical="center"/>
    </xf>
    <xf numFmtId="49" fontId="34" fillId="0" borderId="27" xfId="60" applyNumberFormat="1" applyFont="1" applyBorder="1" applyAlignment="1">
      <alignment horizontal="center" vertical="center"/>
    </xf>
    <xf numFmtId="164" fontId="34" fillId="0" borderId="30" xfId="60" applyNumberFormat="1" applyFont="1" applyBorder="1" applyAlignment="1">
      <alignment horizontal="center" vertical="center"/>
    </xf>
    <xf numFmtId="164" fontId="34" fillId="0" borderId="27" xfId="60" applyNumberFormat="1" applyFont="1" applyBorder="1"/>
    <xf numFmtId="164" fontId="34" fillId="0" borderId="32" xfId="60" applyNumberFormat="1" applyFont="1" applyBorder="1"/>
    <xf numFmtId="164" fontId="37" fillId="0" borderId="23" xfId="60" applyNumberFormat="1" applyFont="1" applyBorder="1" applyAlignment="1">
      <alignment horizontal="center"/>
    </xf>
    <xf numFmtId="164" fontId="37" fillId="0" borderId="23" xfId="60" applyNumberFormat="1" applyFont="1" applyBorder="1" applyAlignment="1">
      <alignment horizontal="center" vertical="center"/>
    </xf>
    <xf numFmtId="164" fontId="35" fillId="0" borderId="23" xfId="60" applyNumberFormat="1" applyFont="1" applyBorder="1" applyAlignment="1">
      <alignment horizontal="center"/>
    </xf>
    <xf numFmtId="164" fontId="38" fillId="0" borderId="23" xfId="60" applyNumberFormat="1" applyFont="1" applyBorder="1" applyAlignment="1">
      <alignment horizontal="center" vertical="center"/>
    </xf>
    <xf numFmtId="164" fontId="39" fillId="0" borderId="23" xfId="60" applyNumberFormat="1" applyFont="1" applyBorder="1" applyAlignment="1">
      <alignment horizontal="center" vertical="center"/>
    </xf>
    <xf numFmtId="164" fontId="38" fillId="0" borderId="26" xfId="60" applyNumberFormat="1" applyFont="1" applyBorder="1" applyAlignment="1">
      <alignment horizontal="center" vertical="center"/>
    </xf>
    <xf numFmtId="164" fontId="35" fillId="0" borderId="31" xfId="60" applyNumberFormat="1" applyFont="1" applyBorder="1" applyAlignment="1">
      <alignment horizontal="center" vertical="center"/>
    </xf>
    <xf numFmtId="164" fontId="35" fillId="0" borderId="26" xfId="60" applyNumberFormat="1" applyFont="1" applyBorder="1" applyAlignment="1">
      <alignment horizontal="center" vertical="center"/>
    </xf>
    <xf numFmtId="0" fontId="35" fillId="0" borderId="23" xfId="60" applyFont="1" applyBorder="1" applyAlignment="1">
      <alignment horizontal="center"/>
    </xf>
    <xf numFmtId="164" fontId="35" fillId="0" borderId="24" xfId="60" applyNumberFormat="1" applyFont="1" applyBorder="1" applyAlignment="1">
      <alignment horizontal="center" vertical="center"/>
    </xf>
    <xf numFmtId="164" fontId="35" fillId="0" borderId="27" xfId="60" applyNumberFormat="1" applyFont="1" applyBorder="1" applyAlignment="1">
      <alignment horizontal="center" vertical="center"/>
    </xf>
    <xf numFmtId="164" fontId="34" fillId="0" borderId="24" xfId="60" applyNumberFormat="1" applyFont="1" applyBorder="1" applyAlignment="1">
      <alignment horizontal="center"/>
    </xf>
    <xf numFmtId="0" fontId="40" fillId="0" borderId="23" xfId="60" applyFont="1" applyBorder="1" applyAlignment="1">
      <alignment horizontal="center"/>
    </xf>
    <xf numFmtId="164" fontId="40" fillId="0" borderId="23" xfId="60" applyNumberFormat="1" applyFont="1" applyBorder="1" applyAlignment="1">
      <alignment horizontal="center"/>
    </xf>
    <xf numFmtId="0" fontId="33" fillId="0" borderId="0" xfId="60" applyFont="1" applyAlignment="1">
      <alignment horizontal="center"/>
    </xf>
    <xf numFmtId="0" fontId="36" fillId="0" borderId="23" xfId="60" applyFont="1" applyBorder="1" applyAlignment="1">
      <alignment horizontal="center"/>
    </xf>
    <xf numFmtId="0" fontId="36" fillId="0" borderId="0" xfId="60" applyFont="1" applyAlignment="1">
      <alignment horizontal="center"/>
    </xf>
    <xf numFmtId="167" fontId="36" fillId="0" borderId="23" xfId="60" applyNumberFormat="1" applyFont="1" applyBorder="1" applyAlignment="1">
      <alignment horizontal="center"/>
    </xf>
    <xf numFmtId="164" fontId="36" fillId="0" borderId="26" xfId="60" applyNumberFormat="1" applyFont="1" applyBorder="1" applyAlignment="1">
      <alignment horizontal="center" vertical="center"/>
    </xf>
    <xf numFmtId="164" fontId="39" fillId="0" borderId="25" xfId="60" applyNumberFormat="1" applyFont="1" applyBorder="1"/>
    <xf numFmtId="164" fontId="39" fillId="0" borderId="32" xfId="60" applyNumberFormat="1" applyFont="1" applyBorder="1"/>
    <xf numFmtId="164" fontId="36" fillId="0" borderId="25" xfId="60" applyNumberFormat="1" applyFont="1" applyBorder="1" applyAlignment="1">
      <alignment horizontal="center" vertical="center"/>
    </xf>
    <xf numFmtId="164" fontId="36" fillId="0" borderId="27" xfId="60" applyNumberFormat="1" applyFont="1" applyBorder="1" applyAlignment="1">
      <alignment horizontal="center" vertical="center"/>
    </xf>
    <xf numFmtId="164" fontId="39" fillId="0" borderId="27" xfId="60" applyNumberFormat="1" applyFont="1" applyBorder="1" applyAlignment="1">
      <alignment horizontal="center" vertical="center"/>
    </xf>
    <xf numFmtId="164" fontId="36" fillId="0" borderId="23" xfId="60" applyNumberFormat="1" applyFont="1" applyBorder="1" applyAlignment="1">
      <alignment horizontal="center" vertical="center"/>
    </xf>
    <xf numFmtId="164" fontId="36" fillId="0" borderId="23" xfId="60" applyNumberFormat="1" applyFont="1" applyBorder="1" applyAlignment="1">
      <alignment horizontal="center"/>
    </xf>
    <xf numFmtId="1" fontId="36" fillId="0" borderId="23" xfId="60" applyNumberFormat="1" applyFont="1" applyBorder="1" applyAlignment="1">
      <alignment horizontal="center" vertical="center"/>
    </xf>
    <xf numFmtId="2" fontId="39" fillId="0" borderId="23" xfId="60" applyNumberFormat="1" applyFont="1" applyBorder="1" applyAlignment="1">
      <alignment horizontal="center" vertical="center"/>
    </xf>
    <xf numFmtId="49" fontId="36" fillId="0" borderId="23" xfId="60" applyNumberFormat="1" applyFont="1" applyBorder="1" applyAlignment="1">
      <alignment horizontal="center" vertical="center"/>
    </xf>
    <xf numFmtId="164" fontId="36" fillId="0" borderId="24" xfId="60" applyNumberFormat="1" applyFont="1" applyBorder="1" applyAlignment="1">
      <alignment horizontal="center" vertical="center"/>
    </xf>
    <xf numFmtId="164" fontId="39" fillId="0" borderId="23" xfId="60" applyNumberFormat="1" applyFont="1" applyBorder="1"/>
    <xf numFmtId="167" fontId="36" fillId="0" borderId="27" xfId="60" applyNumberFormat="1" applyFont="1" applyBorder="1" applyAlignment="1">
      <alignment horizontal="center" vertical="center"/>
    </xf>
    <xf numFmtId="0" fontId="39" fillId="0" borderId="23" xfId="60" applyFont="1" applyBorder="1" applyAlignment="1">
      <alignment horizontal="center"/>
    </xf>
    <xf numFmtId="164" fontId="41" fillId="0" borderId="23" xfId="60" applyNumberFormat="1" applyFont="1" applyBorder="1" applyAlignment="1">
      <alignment horizontal="center"/>
    </xf>
    <xf numFmtId="164" fontId="39" fillId="0" borderId="25" xfId="60" applyNumberFormat="1" applyFont="1" applyBorder="1" applyAlignment="1">
      <alignment horizontal="center"/>
    </xf>
    <xf numFmtId="167" fontId="39" fillId="0" borderId="24" xfId="60" applyNumberFormat="1" applyFont="1" applyBorder="1" applyAlignment="1">
      <alignment horizontal="center" vertical="center"/>
    </xf>
    <xf numFmtId="0" fontId="39" fillId="0" borderId="0" xfId="60" applyFont="1"/>
    <xf numFmtId="1" fontId="39" fillId="38" borderId="23" xfId="60" applyNumberFormat="1" applyFont="1" applyFill="1" applyBorder="1" applyAlignment="1">
      <alignment horizontal="center" vertical="center"/>
    </xf>
    <xf numFmtId="2" fontId="39" fillId="0" borderId="23" xfId="60" applyNumberFormat="1" applyFont="1" applyBorder="1" applyAlignment="1">
      <alignment horizontal="center"/>
    </xf>
    <xf numFmtId="164" fontId="39" fillId="0" borderId="26" xfId="60" applyNumberFormat="1" applyFont="1" applyBorder="1" applyAlignment="1">
      <alignment horizontal="center" vertical="center"/>
    </xf>
    <xf numFmtId="167" fontId="39" fillId="0" borderId="26" xfId="60" applyNumberFormat="1" applyFont="1" applyBorder="1" applyAlignment="1">
      <alignment horizontal="center" vertical="center"/>
    </xf>
    <xf numFmtId="164" fontId="39" fillId="0" borderId="29" xfId="60" applyNumberFormat="1" applyFont="1" applyBorder="1" applyAlignment="1">
      <alignment horizontal="center" vertical="center"/>
    </xf>
    <xf numFmtId="1" fontId="39" fillId="0" borderId="26" xfId="60" applyNumberFormat="1" applyFont="1" applyBorder="1" applyAlignment="1">
      <alignment horizontal="center" vertical="center"/>
    </xf>
    <xf numFmtId="2" fontId="39" fillId="0" borderId="26" xfId="60" applyNumberFormat="1" applyFont="1" applyBorder="1" applyAlignment="1">
      <alignment horizontal="center" vertical="center"/>
    </xf>
    <xf numFmtId="49" fontId="39" fillId="0" borderId="26" xfId="60" applyNumberFormat="1" applyFont="1" applyBorder="1" applyAlignment="1">
      <alignment horizontal="center" vertical="center"/>
    </xf>
    <xf numFmtId="164" fontId="39" fillId="0" borderId="28" xfId="60" applyNumberFormat="1" applyFont="1" applyBorder="1" applyAlignment="1">
      <alignment horizontal="center" vertical="center"/>
    </xf>
    <xf numFmtId="0" fontId="39" fillId="0" borderId="25" xfId="60" applyFont="1" applyBorder="1" applyAlignment="1">
      <alignment horizontal="center" vertical="center"/>
    </xf>
    <xf numFmtId="1" fontId="39" fillId="0" borderId="29" xfId="60" applyNumberFormat="1" applyFont="1" applyBorder="1" applyAlignment="1">
      <alignment horizontal="center" vertical="center"/>
    </xf>
    <xf numFmtId="164" fontId="39" fillId="0" borderId="31" xfId="60" applyNumberFormat="1" applyFont="1" applyBorder="1" applyAlignment="1">
      <alignment horizontal="center" vertical="center"/>
    </xf>
    <xf numFmtId="1" fontId="39" fillId="0" borderId="39" xfId="60" applyNumberFormat="1" applyFont="1" applyBorder="1" applyAlignment="1">
      <alignment horizontal="center" vertical="center"/>
    </xf>
    <xf numFmtId="2" fontId="39" fillId="0" borderId="31" xfId="60" applyNumberFormat="1" applyFont="1" applyBorder="1" applyAlignment="1">
      <alignment horizontal="center" vertical="center"/>
    </xf>
    <xf numFmtId="164" fontId="39" fillId="0" borderId="26" xfId="60" applyNumberFormat="1" applyFont="1" applyBorder="1"/>
    <xf numFmtId="0" fontId="39" fillId="0" borderId="27" xfId="60" applyFont="1" applyBorder="1" applyAlignment="1">
      <alignment horizontal="center"/>
    </xf>
    <xf numFmtId="167" fontId="39" fillId="0" borderId="23" xfId="60" applyNumberFormat="1" applyFont="1" applyBorder="1" applyAlignment="1">
      <alignment horizontal="center"/>
    </xf>
    <xf numFmtId="49" fontId="39" fillId="0" borderId="23" xfId="60" applyNumberFormat="1" applyFont="1" applyBorder="1" applyAlignment="1">
      <alignment horizontal="center"/>
    </xf>
    <xf numFmtId="164" fontId="39" fillId="0" borderId="23" xfId="60" applyNumberFormat="1" applyFont="1" applyBorder="1" applyAlignment="1">
      <alignment horizontal="right"/>
    </xf>
    <xf numFmtId="167" fontId="39" fillId="0" borderId="27" xfId="60" applyNumberFormat="1" applyFont="1" applyBorder="1" applyAlignment="1">
      <alignment horizontal="center" vertical="center"/>
    </xf>
    <xf numFmtId="164" fontId="39" fillId="0" borderId="24" xfId="60" applyNumberFormat="1" applyFont="1" applyBorder="1"/>
    <xf numFmtId="164" fontId="39" fillId="0" borderId="32" xfId="60" applyNumberFormat="1" applyFont="1" applyBorder="1" applyAlignment="1">
      <alignment horizontal="center" vertical="center"/>
    </xf>
    <xf numFmtId="164" fontId="39" fillId="0" borderId="27" xfId="60" applyNumberFormat="1" applyFont="1" applyBorder="1" applyAlignment="1">
      <alignment horizontal="center"/>
    </xf>
    <xf numFmtId="1" fontId="39" fillId="0" borderId="27" xfId="60" applyNumberFormat="1" applyFont="1" applyBorder="1" applyAlignment="1">
      <alignment horizontal="center" vertical="center"/>
    </xf>
    <xf numFmtId="2" fontId="39" fillId="0" borderId="27" xfId="60" applyNumberFormat="1" applyFont="1" applyBorder="1" applyAlignment="1">
      <alignment horizontal="center"/>
    </xf>
    <xf numFmtId="0" fontId="39" fillId="0" borderId="27" xfId="60" applyFont="1" applyBorder="1" applyAlignment="1">
      <alignment horizontal="center" vertical="center"/>
    </xf>
    <xf numFmtId="49" fontId="39" fillId="0" borderId="27" xfId="60" applyNumberFormat="1" applyFont="1" applyBorder="1" applyAlignment="1">
      <alignment horizontal="center" vertical="center"/>
    </xf>
    <xf numFmtId="164" fontId="39" fillId="0" borderId="30" xfId="60" applyNumberFormat="1" applyFont="1" applyBorder="1" applyAlignment="1">
      <alignment horizontal="center" vertical="center"/>
    </xf>
    <xf numFmtId="164" fontId="39" fillId="0" borderId="27" xfId="60" applyNumberFormat="1" applyFont="1" applyBorder="1"/>
    <xf numFmtId="164" fontId="39" fillId="0" borderId="23" xfId="60" applyNumberFormat="1" applyFont="1" applyBorder="1" applyAlignment="1">
      <alignment horizontal="center"/>
    </xf>
    <xf numFmtId="167" fontId="39" fillId="0" borderId="23" xfId="60" applyNumberFormat="1" applyFont="1" applyBorder="1" applyAlignment="1">
      <alignment horizontal="center" vertical="center"/>
    </xf>
    <xf numFmtId="164" fontId="39" fillId="0" borderId="25" xfId="60" applyNumberFormat="1" applyFont="1" applyBorder="1" applyAlignment="1">
      <alignment horizontal="center" vertical="center"/>
    </xf>
    <xf numFmtId="0" fontId="39" fillId="0" borderId="23" xfId="60" applyFont="1" applyBorder="1" applyAlignment="1">
      <alignment horizontal="center" vertical="center"/>
    </xf>
    <xf numFmtId="1" fontId="39" fillId="0" borderId="23" xfId="60" applyNumberFormat="1" applyFont="1" applyBorder="1" applyAlignment="1">
      <alignment horizontal="center" vertical="center"/>
    </xf>
    <xf numFmtId="49" fontId="39" fillId="0" borderId="23" xfId="60" applyNumberFormat="1" applyFont="1" applyBorder="1" applyAlignment="1">
      <alignment horizontal="center" vertical="center"/>
    </xf>
    <xf numFmtId="164" fontId="39" fillId="0" borderId="24" xfId="60" applyNumberFormat="1" applyFont="1" applyBorder="1" applyAlignment="1">
      <alignment horizontal="center" vertical="center"/>
    </xf>
    <xf numFmtId="2" fontId="41" fillId="0" borderId="23" xfId="60" applyNumberFormat="1" applyFont="1" applyBorder="1" applyAlignment="1">
      <alignment horizontal="center" vertical="center"/>
    </xf>
    <xf numFmtId="2" fontId="41" fillId="0" borderId="23" xfId="60" applyNumberFormat="1" applyFont="1" applyBorder="1" applyAlignment="1">
      <alignment horizontal="center"/>
    </xf>
    <xf numFmtId="164" fontId="41" fillId="0" borderId="23" xfId="60" applyNumberFormat="1" applyFont="1" applyBorder="1" applyAlignment="1">
      <alignment horizontal="center" vertical="center"/>
    </xf>
    <xf numFmtId="167" fontId="36" fillId="0" borderId="23" xfId="0" applyNumberFormat="1" applyFont="1" applyBorder="1" applyAlignment="1">
      <alignment horizontal="center"/>
    </xf>
    <xf numFmtId="164" fontId="39" fillId="0" borderId="23" xfId="0" applyNumberFormat="1" applyFont="1" applyBorder="1" applyAlignment="1">
      <alignment horizontal="center"/>
    </xf>
    <xf numFmtId="164" fontId="36" fillId="0" borderId="26" xfId="0" applyNumberFormat="1" applyFont="1" applyBorder="1" applyAlignment="1">
      <alignment horizontal="center" vertical="center"/>
    </xf>
    <xf numFmtId="164" fontId="39" fillId="0" borderId="25" xfId="0" applyNumberFormat="1" applyFont="1" applyBorder="1"/>
    <xf numFmtId="164" fontId="39" fillId="0" borderId="32" xfId="0" applyNumberFormat="1" applyFont="1" applyBorder="1"/>
    <xf numFmtId="164" fontId="36" fillId="0" borderId="25" xfId="0" applyNumberFormat="1" applyFont="1" applyBorder="1" applyAlignment="1">
      <alignment horizontal="center" vertical="center"/>
    </xf>
    <xf numFmtId="164" fontId="36" fillId="0" borderId="27" xfId="0" applyNumberFormat="1" applyFont="1" applyBorder="1" applyAlignment="1">
      <alignment horizontal="center" vertical="center"/>
    </xf>
    <xf numFmtId="164" fontId="39" fillId="0" borderId="23" xfId="0" applyNumberFormat="1" applyFont="1" applyBorder="1" applyAlignment="1">
      <alignment horizontal="center" vertical="center"/>
    </xf>
    <xf numFmtId="164" fontId="39" fillId="0" borderId="27" xfId="0" applyNumberFormat="1" applyFont="1" applyBorder="1" applyAlignment="1">
      <alignment horizontal="center" vertical="center"/>
    </xf>
    <xf numFmtId="164" fontId="36" fillId="0" borderId="23" xfId="0" applyNumberFormat="1" applyFont="1" applyBorder="1" applyAlignment="1">
      <alignment horizontal="center" vertical="center"/>
    </xf>
    <xf numFmtId="164" fontId="36" fillId="0" borderId="23" xfId="0" applyNumberFormat="1" applyFont="1" applyBorder="1" applyAlignment="1">
      <alignment horizontal="center"/>
    </xf>
    <xf numFmtId="1" fontId="36" fillId="0" borderId="23" xfId="0" applyNumberFormat="1" applyFont="1" applyBorder="1" applyAlignment="1">
      <alignment horizontal="center" vertical="center"/>
    </xf>
    <xf numFmtId="2" fontId="39" fillId="0" borderId="23" xfId="0" applyNumberFormat="1" applyFont="1" applyBorder="1" applyAlignment="1">
      <alignment horizontal="center" vertical="center"/>
    </xf>
    <xf numFmtId="49" fontId="36" fillId="0" borderId="23" xfId="0" applyNumberFormat="1" applyFont="1" applyBorder="1" applyAlignment="1">
      <alignment horizontal="center" vertical="center"/>
    </xf>
    <xf numFmtId="164" fontId="36" fillId="0" borderId="24" xfId="0" applyNumberFormat="1" applyFont="1" applyBorder="1" applyAlignment="1">
      <alignment horizontal="center" vertical="center"/>
    </xf>
    <xf numFmtId="164" fontId="39" fillId="0" borderId="23" xfId="0" applyNumberFormat="1" applyFont="1" applyBorder="1"/>
    <xf numFmtId="167" fontId="36" fillId="0" borderId="27" xfId="0" applyNumberFormat="1" applyFont="1" applyBorder="1" applyAlignment="1">
      <alignment horizontal="center" vertical="center"/>
    </xf>
    <xf numFmtId="164" fontId="39" fillId="0" borderId="25" xfId="0" applyNumberFormat="1" applyFont="1" applyBorder="1" applyAlignment="1">
      <alignment horizontal="center" vertical="center"/>
    </xf>
    <xf numFmtId="1" fontId="39" fillId="0" borderId="23" xfId="0" applyNumberFormat="1" applyFont="1" applyBorder="1" applyAlignment="1">
      <alignment horizontal="center" vertical="center"/>
    </xf>
    <xf numFmtId="49" fontId="39" fillId="0" borderId="23" xfId="0" applyNumberFormat="1" applyFont="1" applyBorder="1" applyAlignment="1">
      <alignment horizontal="center" vertical="center"/>
    </xf>
    <xf numFmtId="164" fontId="39" fillId="0" borderId="24" xfId="0" applyNumberFormat="1" applyFont="1" applyBorder="1" applyAlignment="1">
      <alignment horizontal="center" vertical="center"/>
    </xf>
    <xf numFmtId="167" fontId="39" fillId="0" borderId="23" xfId="0" applyNumberFormat="1" applyFont="1" applyBorder="1" applyAlignment="1">
      <alignment horizontal="center" vertical="center"/>
    </xf>
    <xf numFmtId="0" fontId="39" fillId="0" borderId="23" xfId="0" applyFont="1" applyBorder="1" applyAlignment="1">
      <alignment horizontal="center"/>
    </xf>
    <xf numFmtId="164" fontId="39" fillId="0" borderId="25" xfId="0" applyNumberFormat="1" applyFont="1" applyBorder="1" applyAlignment="1">
      <alignment horizontal="center"/>
    </xf>
    <xf numFmtId="167" fontId="39" fillId="0" borderId="24" xfId="0" applyNumberFormat="1" applyFont="1" applyBorder="1" applyAlignment="1">
      <alignment horizontal="center" vertical="center"/>
    </xf>
    <xf numFmtId="164" fontId="38" fillId="0" borderId="23" xfId="0" applyNumberFormat="1" applyFont="1" applyBorder="1" applyAlignment="1">
      <alignment horizontal="center" vertical="center"/>
    </xf>
    <xf numFmtId="2" fontId="41" fillId="0" borderId="23" xfId="0" applyNumberFormat="1" applyFont="1" applyBorder="1" applyAlignment="1">
      <alignment horizontal="center" vertical="center"/>
    </xf>
    <xf numFmtId="0" fontId="39" fillId="0" borderId="0" xfId="0" applyFont="1"/>
    <xf numFmtId="0" fontId="39" fillId="0" borderId="23" xfId="0" applyFont="1" applyBorder="1" applyAlignment="1">
      <alignment horizontal="center" vertical="center"/>
    </xf>
    <xf numFmtId="1" fontId="39" fillId="38" borderId="23" xfId="0" applyNumberFormat="1" applyFont="1" applyFill="1" applyBorder="1" applyAlignment="1">
      <alignment horizontal="center" vertical="center"/>
    </xf>
    <xf numFmtId="2" fontId="39" fillId="0" borderId="23" xfId="0" applyNumberFormat="1" applyFont="1" applyBorder="1" applyAlignment="1">
      <alignment horizontal="center"/>
    </xf>
    <xf numFmtId="2" fontId="41" fillId="0" borderId="23" xfId="0" applyNumberFormat="1" applyFont="1" applyBorder="1" applyAlignment="1">
      <alignment horizontal="center"/>
    </xf>
    <xf numFmtId="0" fontId="36" fillId="0" borderId="0" xfId="0" applyFont="1" applyAlignment="1">
      <alignment horizontal="center"/>
    </xf>
    <xf numFmtId="164" fontId="39" fillId="0" borderId="26" xfId="0" applyNumberFormat="1" applyFont="1" applyBorder="1" applyAlignment="1">
      <alignment horizontal="center" vertical="center"/>
    </xf>
    <xf numFmtId="167" fontId="39" fillId="0" borderId="26" xfId="0" applyNumberFormat="1" applyFont="1" applyBorder="1" applyAlignment="1">
      <alignment horizontal="center" vertical="center"/>
    </xf>
    <xf numFmtId="164" fontId="39" fillId="0" borderId="29" xfId="0" applyNumberFormat="1" applyFont="1" applyBorder="1" applyAlignment="1">
      <alignment horizontal="center" vertical="center"/>
    </xf>
    <xf numFmtId="1" fontId="39" fillId="0" borderId="26" xfId="0" applyNumberFormat="1" applyFont="1" applyBorder="1" applyAlignment="1">
      <alignment horizontal="center" vertical="center"/>
    </xf>
    <xf numFmtId="2" fontId="39" fillId="0" borderId="26" xfId="0" applyNumberFormat="1" applyFont="1" applyBorder="1" applyAlignment="1">
      <alignment horizontal="center" vertical="center"/>
    </xf>
    <xf numFmtId="49" fontId="39" fillId="0" borderId="26" xfId="0" applyNumberFormat="1" applyFont="1" applyBorder="1" applyAlignment="1">
      <alignment horizontal="center" vertical="center"/>
    </xf>
    <xf numFmtId="164" fontId="39" fillId="0" borderId="28" xfId="0" applyNumberFormat="1" applyFont="1" applyBorder="1" applyAlignment="1">
      <alignment horizontal="center" vertical="center"/>
    </xf>
    <xf numFmtId="0" fontId="39" fillId="0" borderId="25" xfId="0" applyFont="1" applyBorder="1" applyAlignment="1">
      <alignment horizontal="center" vertical="center"/>
    </xf>
    <xf numFmtId="1" fontId="39" fillId="0" borderId="29" xfId="0" applyNumberFormat="1" applyFont="1" applyBorder="1" applyAlignment="1">
      <alignment horizontal="center" vertical="center"/>
    </xf>
    <xf numFmtId="164" fontId="39" fillId="0" borderId="31" xfId="0" applyNumberFormat="1" applyFont="1" applyBorder="1" applyAlignment="1">
      <alignment horizontal="center" vertical="center"/>
    </xf>
    <xf numFmtId="1" fontId="39" fillId="0" borderId="39" xfId="0" applyNumberFormat="1" applyFont="1" applyBorder="1" applyAlignment="1">
      <alignment horizontal="center" vertical="center"/>
    </xf>
    <xf numFmtId="2" fontId="39" fillId="0" borderId="31" xfId="0" applyNumberFormat="1" applyFont="1" applyBorder="1" applyAlignment="1">
      <alignment horizontal="center" vertical="center"/>
    </xf>
    <xf numFmtId="164" fontId="39" fillId="0" borderId="26" xfId="0" applyNumberFormat="1" applyFont="1" applyBorder="1"/>
    <xf numFmtId="164" fontId="41" fillId="0" borderId="23" xfId="0" applyNumberFormat="1" applyFont="1" applyBorder="1" applyAlignment="1">
      <alignment horizontal="center"/>
    </xf>
    <xf numFmtId="0" fontId="39" fillId="0" borderId="27" xfId="0" applyFont="1" applyBorder="1" applyAlignment="1">
      <alignment horizontal="center"/>
    </xf>
    <xf numFmtId="167" fontId="39" fillId="0" borderId="23" xfId="0" applyNumberFormat="1" applyFont="1" applyBorder="1" applyAlignment="1">
      <alignment horizontal="center"/>
    </xf>
    <xf numFmtId="49" fontId="39" fillId="0" borderId="23" xfId="0" applyNumberFormat="1" applyFont="1" applyBorder="1" applyAlignment="1">
      <alignment horizontal="center"/>
    </xf>
    <xf numFmtId="164" fontId="39" fillId="0" borderId="23" xfId="0" applyNumberFormat="1" applyFont="1" applyBorder="1" applyAlignment="1">
      <alignment horizontal="right"/>
    </xf>
    <xf numFmtId="167" fontId="39" fillId="0" borderId="27" xfId="0" applyNumberFormat="1" applyFont="1" applyBorder="1" applyAlignment="1">
      <alignment horizontal="center" vertical="center"/>
    </xf>
    <xf numFmtId="164" fontId="39" fillId="0" borderId="24" xfId="0" applyNumberFormat="1" applyFont="1" applyBorder="1"/>
    <xf numFmtId="164" fontId="39" fillId="0" borderId="32" xfId="0" applyNumberFormat="1" applyFont="1" applyBorder="1" applyAlignment="1">
      <alignment horizontal="center" vertical="center"/>
    </xf>
    <xf numFmtId="164" fontId="39" fillId="0" borderId="27" xfId="0" applyNumberFormat="1" applyFont="1" applyBorder="1" applyAlignment="1">
      <alignment horizontal="center"/>
    </xf>
    <xf numFmtId="1" fontId="39" fillId="0" borderId="27" xfId="0" applyNumberFormat="1" applyFont="1" applyBorder="1" applyAlignment="1">
      <alignment horizontal="center" vertical="center"/>
    </xf>
    <xf numFmtId="2" fontId="39" fillId="0" borderId="27" xfId="0" applyNumberFormat="1" applyFont="1" applyBorder="1" applyAlignment="1">
      <alignment horizontal="center"/>
    </xf>
    <xf numFmtId="0" fontId="39" fillId="0" borderId="27" xfId="0" applyFont="1" applyBorder="1" applyAlignment="1">
      <alignment horizontal="center" vertical="center"/>
    </xf>
    <xf numFmtId="49" fontId="39" fillId="0" borderId="27" xfId="0" applyNumberFormat="1" applyFont="1" applyBorder="1" applyAlignment="1">
      <alignment horizontal="center" vertical="center"/>
    </xf>
    <xf numFmtId="164" fontId="39" fillId="0" borderId="30" xfId="0" applyNumberFormat="1" applyFont="1" applyBorder="1" applyAlignment="1">
      <alignment horizontal="center" vertical="center"/>
    </xf>
    <xf numFmtId="164" fontId="39" fillId="0" borderId="27" xfId="0" applyNumberFormat="1" applyFont="1" applyBorder="1"/>
    <xf numFmtId="0" fontId="39" fillId="0" borderId="0" xfId="0" applyFont="1" applyAlignment="1">
      <alignment horizontal="center"/>
    </xf>
    <xf numFmtId="0" fontId="36" fillId="0" borderId="0" xfId="0" applyFont="1" applyAlignment="1">
      <alignment horizontal="center" vertical="center"/>
    </xf>
    <xf numFmtId="167" fontId="33" fillId="0" borderId="23" xfId="0" applyNumberFormat="1" applyFont="1" applyBorder="1" applyAlignment="1">
      <alignment horizontal="center"/>
    </xf>
    <xf numFmtId="164" fontId="34" fillId="0" borderId="23" xfId="0" applyNumberFormat="1" applyFont="1" applyBorder="1" applyAlignment="1">
      <alignment horizontal="center"/>
    </xf>
    <xf numFmtId="164" fontId="33" fillId="0" borderId="26" xfId="0" applyNumberFormat="1" applyFont="1" applyBorder="1" applyAlignment="1">
      <alignment horizontal="center" vertical="center"/>
    </xf>
    <xf numFmtId="164" fontId="34" fillId="0" borderId="25" xfId="0" applyNumberFormat="1" applyFont="1" applyBorder="1"/>
    <xf numFmtId="164" fontId="34" fillId="0" borderId="32" xfId="0" applyNumberFormat="1" applyFont="1" applyBorder="1"/>
    <xf numFmtId="164" fontId="33" fillId="0" borderId="25" xfId="0" applyNumberFormat="1" applyFont="1" applyBorder="1" applyAlignment="1">
      <alignment horizontal="center" vertical="center"/>
    </xf>
    <xf numFmtId="164" fontId="33" fillId="0" borderId="27" xfId="0" applyNumberFormat="1" applyFont="1" applyBorder="1" applyAlignment="1">
      <alignment horizontal="center" vertical="center"/>
    </xf>
    <xf numFmtId="164" fontId="34" fillId="0" borderId="23" xfId="0" applyNumberFormat="1" applyFont="1" applyBorder="1" applyAlignment="1">
      <alignment horizontal="center" vertical="center"/>
    </xf>
    <xf numFmtId="164" fontId="34" fillId="0" borderId="27" xfId="0" applyNumberFormat="1" applyFont="1" applyBorder="1" applyAlignment="1">
      <alignment horizontal="center" vertical="center"/>
    </xf>
    <xf numFmtId="164" fontId="33" fillId="0" borderId="23" xfId="0" applyNumberFormat="1" applyFont="1" applyBorder="1" applyAlignment="1">
      <alignment horizontal="center" vertical="center"/>
    </xf>
    <xf numFmtId="164" fontId="33" fillId="0" borderId="23" xfId="0" applyNumberFormat="1" applyFont="1" applyBorder="1" applyAlignment="1">
      <alignment horizontal="center"/>
    </xf>
    <xf numFmtId="1" fontId="33" fillId="0" borderId="23" xfId="0" applyNumberFormat="1" applyFont="1" applyBorder="1" applyAlignment="1">
      <alignment horizontal="center" vertical="center"/>
    </xf>
    <xf numFmtId="2" fontId="34" fillId="0" borderId="23" xfId="0" applyNumberFormat="1" applyFont="1" applyBorder="1" applyAlignment="1">
      <alignment horizontal="center" vertical="center"/>
    </xf>
    <xf numFmtId="49" fontId="33" fillId="0" borderId="23" xfId="0" applyNumberFormat="1" applyFont="1" applyBorder="1" applyAlignment="1">
      <alignment horizontal="center" vertical="center"/>
    </xf>
    <xf numFmtId="164" fontId="33" fillId="0" borderId="24" xfId="0" applyNumberFormat="1" applyFont="1" applyBorder="1" applyAlignment="1">
      <alignment horizontal="center" vertical="center"/>
    </xf>
    <xf numFmtId="164" fontId="34" fillId="0" borderId="23" xfId="0" applyNumberFormat="1" applyFont="1" applyBorder="1"/>
    <xf numFmtId="0" fontId="42" fillId="0" borderId="27" xfId="0" applyFont="1" applyBorder="1" applyAlignment="1">
      <alignment horizontal="center" vertical="center"/>
    </xf>
    <xf numFmtId="0" fontId="42" fillId="0" borderId="23" xfId="0" applyFont="1" applyBorder="1" applyAlignment="1">
      <alignment horizontal="center"/>
    </xf>
    <xf numFmtId="0" fontId="42" fillId="0" borderId="26" xfId="0" applyFont="1" applyBorder="1" applyAlignment="1">
      <alignment horizontal="center" vertical="center"/>
    </xf>
    <xf numFmtId="0" fontId="42" fillId="0" borderId="25" xfId="0" applyFont="1" applyBorder="1"/>
    <xf numFmtId="0" fontId="42" fillId="0" borderId="32" xfId="0" applyFont="1" applyBorder="1"/>
    <xf numFmtId="0" fontId="42" fillId="0" borderId="25" xfId="0" applyFont="1" applyBorder="1" applyAlignment="1">
      <alignment horizontal="center" vertical="center"/>
    </xf>
    <xf numFmtId="0" fontId="42" fillId="0" borderId="23" xfId="0" applyFont="1" applyBorder="1" applyAlignment="1">
      <alignment horizontal="center" vertical="center"/>
    </xf>
    <xf numFmtId="0" fontId="42" fillId="0" borderId="24" xfId="0" applyFont="1" applyBorder="1" applyAlignment="1">
      <alignment horizontal="center" vertical="center"/>
    </xf>
    <xf numFmtId="0" fontId="42" fillId="0" borderId="23" xfId="0" applyFont="1" applyBorder="1"/>
    <xf numFmtId="167" fontId="34" fillId="0" borderId="23" xfId="0" applyNumberFormat="1" applyFont="1" applyBorder="1" applyAlignment="1">
      <alignment horizontal="center" vertical="center"/>
    </xf>
    <xf numFmtId="164" fontId="34" fillId="0" borderId="25" xfId="0" applyNumberFormat="1" applyFont="1" applyBorder="1" applyAlignment="1">
      <alignment horizontal="center"/>
    </xf>
    <xf numFmtId="0" fontId="34" fillId="0" borderId="23" xfId="0" applyFont="1" applyBorder="1" applyAlignment="1">
      <alignment horizontal="center"/>
    </xf>
    <xf numFmtId="49" fontId="34" fillId="0" borderId="23" xfId="0" applyNumberFormat="1" applyFont="1" applyBorder="1" applyAlignment="1">
      <alignment horizontal="center" vertical="center"/>
    </xf>
    <xf numFmtId="164" fontId="34" fillId="0" borderId="24" xfId="0" applyNumberFormat="1" applyFont="1" applyBorder="1" applyAlignment="1">
      <alignment horizontal="center" vertical="center"/>
    </xf>
    <xf numFmtId="167" fontId="34" fillId="0" borderId="24" xfId="0" applyNumberFormat="1" applyFont="1" applyBorder="1" applyAlignment="1">
      <alignment horizontal="center" vertical="center"/>
    </xf>
    <xf numFmtId="164" fontId="34" fillId="0" borderId="25" xfId="0" applyNumberFormat="1" applyFont="1" applyBorder="1" applyAlignment="1">
      <alignment horizontal="center" vertical="center"/>
    </xf>
    <xf numFmtId="1" fontId="34" fillId="0" borderId="23" xfId="0" applyNumberFormat="1" applyFont="1" applyBorder="1" applyAlignment="1">
      <alignment horizontal="center" vertical="center"/>
    </xf>
    <xf numFmtId="2" fontId="43" fillId="0" borderId="23" xfId="0" applyNumberFormat="1" applyFont="1" applyBorder="1" applyAlignment="1">
      <alignment horizontal="center" vertical="center"/>
    </xf>
    <xf numFmtId="0" fontId="34" fillId="0" borderId="0" xfId="0" applyFont="1"/>
    <xf numFmtId="0" fontId="34" fillId="0" borderId="23" xfId="0" applyFont="1" applyBorder="1" applyAlignment="1">
      <alignment horizontal="center" vertical="center"/>
    </xf>
    <xf numFmtId="1" fontId="34" fillId="38" borderId="23" xfId="0" applyNumberFormat="1" applyFont="1" applyFill="1" applyBorder="1" applyAlignment="1">
      <alignment horizontal="center" vertical="center"/>
    </xf>
    <xf numFmtId="2" fontId="34" fillId="0" borderId="23" xfId="0" applyNumberFormat="1" applyFont="1" applyBorder="1" applyAlignment="1">
      <alignment horizontal="center"/>
    </xf>
    <xf numFmtId="2" fontId="43" fillId="0" borderId="23" xfId="0" applyNumberFormat="1" applyFont="1" applyBorder="1" applyAlignment="1">
      <alignment horizontal="center"/>
    </xf>
    <xf numFmtId="0" fontId="33" fillId="0" borderId="0" xfId="0" applyFont="1"/>
    <xf numFmtId="164" fontId="34" fillId="0" borderId="31" xfId="0" applyNumberFormat="1" applyFont="1" applyBorder="1" applyAlignment="1">
      <alignment horizontal="center" vertical="center"/>
    </xf>
    <xf numFmtId="164" fontId="34" fillId="0" borderId="26" xfId="0" applyNumberFormat="1" applyFont="1" applyBorder="1" applyAlignment="1">
      <alignment horizontal="center" vertical="center"/>
    </xf>
    <xf numFmtId="164" fontId="34" fillId="0" borderId="29" xfId="0" applyNumberFormat="1" applyFont="1" applyBorder="1" applyAlignment="1">
      <alignment horizontal="center" vertical="center"/>
    </xf>
    <xf numFmtId="1" fontId="34" fillId="0" borderId="26" xfId="0" applyNumberFormat="1" applyFont="1" applyBorder="1" applyAlignment="1">
      <alignment horizontal="center" vertical="center"/>
    </xf>
    <xf numFmtId="2" fontId="34" fillId="0" borderId="26" xfId="0" applyNumberFormat="1" applyFont="1" applyBorder="1" applyAlignment="1">
      <alignment horizontal="center" vertical="center"/>
    </xf>
    <xf numFmtId="49" fontId="34" fillId="0" borderId="26" xfId="0" applyNumberFormat="1" applyFont="1" applyBorder="1" applyAlignment="1">
      <alignment horizontal="center" vertical="center"/>
    </xf>
    <xf numFmtId="164" fontId="34" fillId="0" borderId="28" xfId="0" applyNumberFormat="1" applyFont="1" applyBorder="1" applyAlignment="1">
      <alignment horizontal="center" vertical="center"/>
    </xf>
    <xf numFmtId="167" fontId="34" fillId="0" borderId="26" xfId="0" applyNumberFormat="1" applyFont="1" applyBorder="1" applyAlignment="1">
      <alignment horizontal="center" vertical="center"/>
    </xf>
    <xf numFmtId="0" fontId="34" fillId="0" borderId="25" xfId="0" applyFont="1" applyBorder="1" applyAlignment="1">
      <alignment horizontal="center" vertical="center"/>
    </xf>
    <xf numFmtId="1" fontId="34" fillId="0" borderId="29" xfId="0" applyNumberFormat="1" applyFont="1" applyBorder="1" applyAlignment="1">
      <alignment horizontal="center" vertical="center"/>
    </xf>
    <xf numFmtId="2" fontId="34" fillId="0" borderId="31" xfId="0" applyNumberFormat="1" applyFont="1" applyBorder="1" applyAlignment="1">
      <alignment horizontal="center" vertical="center"/>
    </xf>
    <xf numFmtId="0" fontId="34" fillId="0" borderId="27" xfId="0" applyFont="1" applyBorder="1" applyAlignment="1">
      <alignment horizontal="center"/>
    </xf>
    <xf numFmtId="167" fontId="34" fillId="0" borderId="23" xfId="0" applyNumberFormat="1" applyFont="1" applyBorder="1" applyAlignment="1">
      <alignment horizontal="center"/>
    </xf>
    <xf numFmtId="49" fontId="34" fillId="0" borderId="23" xfId="0" applyNumberFormat="1" applyFont="1" applyBorder="1" applyAlignment="1">
      <alignment horizontal="center"/>
    </xf>
    <xf numFmtId="167" fontId="34" fillId="0" borderId="27" xfId="0" applyNumberFormat="1" applyFont="1" applyBorder="1" applyAlignment="1">
      <alignment horizontal="center" vertical="center"/>
    </xf>
    <xf numFmtId="164" fontId="34" fillId="0" borderId="32" xfId="0" applyNumberFormat="1" applyFont="1" applyBorder="1" applyAlignment="1">
      <alignment horizontal="center" vertical="center"/>
    </xf>
    <xf numFmtId="1" fontId="34" fillId="0" borderId="27" xfId="0" applyNumberFormat="1" applyFont="1" applyBorder="1" applyAlignment="1">
      <alignment horizontal="center" vertical="center"/>
    </xf>
    <xf numFmtId="2" fontId="34" fillId="0" borderId="27" xfId="0" applyNumberFormat="1" applyFont="1" applyBorder="1" applyAlignment="1">
      <alignment horizontal="center"/>
    </xf>
    <xf numFmtId="164" fontId="34" fillId="0" borderId="27" xfId="0" applyNumberFormat="1" applyFont="1" applyBorder="1" applyAlignment="1">
      <alignment horizontal="center"/>
    </xf>
    <xf numFmtId="0" fontId="34" fillId="0" borderId="27" xfId="0" applyFont="1" applyBorder="1" applyAlignment="1">
      <alignment horizontal="center" vertical="center"/>
    </xf>
    <xf numFmtId="49" fontId="34" fillId="0" borderId="27" xfId="0" applyNumberFormat="1" applyFont="1" applyBorder="1" applyAlignment="1">
      <alignment horizontal="center" vertical="center"/>
    </xf>
    <xf numFmtId="164" fontId="34" fillId="0" borderId="30" xfId="0" applyNumberFormat="1" applyFont="1" applyBorder="1" applyAlignment="1">
      <alignment horizontal="center" vertical="center"/>
    </xf>
    <xf numFmtId="0" fontId="34" fillId="0" borderId="0" xfId="0" applyFont="1" applyAlignment="1">
      <alignment horizontal="center"/>
    </xf>
    <xf numFmtId="167" fontId="33" fillId="0" borderId="27" xfId="0" applyNumberFormat="1" applyFont="1" applyBorder="1" applyAlignment="1">
      <alignment horizontal="center" vertical="center"/>
    </xf>
    <xf numFmtId="0" fontId="33" fillId="0" borderId="0" xfId="0" applyFont="1" applyAlignment="1">
      <alignment horizontal="center"/>
    </xf>
    <xf numFmtId="1" fontId="34" fillId="0" borderId="39" xfId="0" applyNumberFormat="1" applyFont="1" applyBorder="1" applyAlignment="1">
      <alignment horizontal="center" vertical="center"/>
    </xf>
    <xf numFmtId="0" fontId="34" fillId="0" borderId="26" xfId="0" applyFont="1" applyBorder="1" applyAlignment="1">
      <alignment horizontal="center" vertical="center"/>
    </xf>
    <xf numFmtId="0" fontId="33" fillId="0" borderId="23" xfId="0" applyFont="1" applyBorder="1" applyAlignment="1">
      <alignment horizontal="center" vertical="center"/>
    </xf>
    <xf numFmtId="164" fontId="33" fillId="0" borderId="1" xfId="0" applyNumberFormat="1" applyFont="1" applyBorder="1" applyAlignment="1">
      <alignment horizontal="center" vertical="center"/>
    </xf>
    <xf numFmtId="164" fontId="33" fillId="0" borderId="32" xfId="0" applyNumberFormat="1" applyFont="1" applyBorder="1" applyAlignment="1">
      <alignment horizontal="center" vertical="center"/>
    </xf>
    <xf numFmtId="0" fontId="1" fillId="0" borderId="25" xfId="58" applyBorder="1" applyAlignment="1">
      <alignment horizontal="center"/>
    </xf>
    <xf numFmtId="164" fontId="27" fillId="0" borderId="32" xfId="58" applyNumberFormat="1" applyFont="1" applyBorder="1" applyAlignment="1">
      <alignment horizontal="center" vertical="center"/>
    </xf>
    <xf numFmtId="0" fontId="31" fillId="0" borderId="25" xfId="58" applyFont="1" applyBorder="1" applyAlignment="1">
      <alignment horizontal="center"/>
    </xf>
    <xf numFmtId="0" fontId="33" fillId="0" borderId="25" xfId="60" applyFont="1" applyBorder="1" applyAlignment="1">
      <alignment horizontal="center"/>
    </xf>
    <xf numFmtId="164" fontId="33" fillId="0" borderId="32" xfId="60" applyNumberFormat="1" applyFont="1" applyBorder="1" applyAlignment="1">
      <alignment horizontal="center" vertical="center"/>
    </xf>
    <xf numFmtId="0" fontId="34" fillId="0" borderId="25" xfId="60" applyFont="1" applyBorder="1" applyAlignment="1">
      <alignment horizontal="center"/>
    </xf>
    <xf numFmtId="164" fontId="33" fillId="0" borderId="25" xfId="60" applyNumberFormat="1" applyFont="1" applyBorder="1" applyAlignment="1">
      <alignment horizontal="center"/>
    </xf>
    <xf numFmtId="0" fontId="36" fillId="0" borderId="25" xfId="60" applyFont="1" applyBorder="1" applyAlignment="1">
      <alignment horizontal="center"/>
    </xf>
    <xf numFmtId="164" fontId="36" fillId="0" borderId="32" xfId="60" applyNumberFormat="1" applyFont="1" applyBorder="1" applyAlignment="1">
      <alignment horizontal="center" vertical="center"/>
    </xf>
    <xf numFmtId="0" fontId="39" fillId="0" borderId="25" xfId="60" applyFont="1" applyBorder="1" applyAlignment="1">
      <alignment horizontal="center"/>
    </xf>
    <xf numFmtId="0" fontId="36" fillId="0" borderId="25" xfId="0" applyFont="1" applyBorder="1" applyAlignment="1">
      <alignment horizontal="center"/>
    </xf>
    <xf numFmtId="164" fontId="36" fillId="0" borderId="32" xfId="0" applyNumberFormat="1" applyFont="1" applyBorder="1" applyAlignment="1">
      <alignment horizontal="center" vertical="center"/>
    </xf>
    <xf numFmtId="0" fontId="39" fillId="0" borderId="25" xfId="0" applyFont="1" applyBorder="1" applyAlignment="1">
      <alignment horizontal="center"/>
    </xf>
    <xf numFmtId="0" fontId="33" fillId="0" borderId="25" xfId="0" applyFont="1" applyBorder="1" applyAlignment="1">
      <alignment horizontal="center"/>
    </xf>
    <xf numFmtId="0" fontId="42" fillId="0" borderId="32" xfId="0" applyFont="1" applyBorder="1" applyAlignment="1">
      <alignment horizontal="center" vertical="center"/>
    </xf>
    <xf numFmtId="0" fontId="34" fillId="0" borderId="25" xfId="0" applyFont="1" applyBorder="1" applyAlignment="1">
      <alignment horizontal="center"/>
    </xf>
    <xf numFmtId="0" fontId="34" fillId="0" borderId="32" xfId="0" applyFont="1" applyBorder="1" applyAlignment="1">
      <alignment horizontal="center" vertical="center"/>
    </xf>
    <xf numFmtId="14" fontId="0" fillId="0" borderId="1" xfId="0" applyNumberFormat="1" applyBorder="1"/>
    <xf numFmtId="167" fontId="0" fillId="0" borderId="1" xfId="0" applyNumberFormat="1" applyBorder="1"/>
    <xf numFmtId="2" fontId="0" fillId="0" borderId="1" xfId="0" applyNumberFormat="1" applyBorder="1" applyAlignment="1">
      <alignment horizontal="center"/>
    </xf>
    <xf numFmtId="164" fontId="0" fillId="0" borderId="1" xfId="0" applyNumberFormat="1" applyBorder="1"/>
    <xf numFmtId="0" fontId="0" fillId="0" borderId="0" xfId="0" applyAlignment="1">
      <alignment horizontal="left"/>
    </xf>
    <xf numFmtId="0" fontId="4" fillId="0" borderId="0" xfId="0" applyFont="1" applyAlignment="1">
      <alignment horizontal="left"/>
    </xf>
    <xf numFmtId="164" fontId="5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/>
    </xf>
    <xf numFmtId="0" fontId="27" fillId="0" borderId="17" xfId="58" applyFont="1" applyBorder="1" applyAlignment="1">
      <alignment horizontal="center" wrapText="1"/>
    </xf>
    <xf numFmtId="0" fontId="27" fillId="0" borderId="22" xfId="58" applyFont="1" applyBorder="1" applyAlignment="1">
      <alignment horizontal="center" wrapText="1"/>
    </xf>
    <xf numFmtId="0" fontId="27" fillId="0" borderId="36" xfId="58" applyFont="1" applyBorder="1" applyAlignment="1">
      <alignment horizontal="center" wrapText="1"/>
    </xf>
    <xf numFmtId="0" fontId="27" fillId="0" borderId="15" xfId="58" applyFont="1" applyBorder="1" applyAlignment="1">
      <alignment horizontal="center" wrapText="1"/>
    </xf>
    <xf numFmtId="0" fontId="27" fillId="0" borderId="18" xfId="58" applyFont="1" applyBorder="1" applyAlignment="1">
      <alignment horizontal="center" wrapText="1"/>
    </xf>
    <xf numFmtId="0" fontId="27" fillId="0" borderId="35" xfId="58" applyFont="1" applyBorder="1" applyAlignment="1">
      <alignment horizontal="center" wrapText="1"/>
    </xf>
    <xf numFmtId="0" fontId="27" fillId="0" borderId="16" xfId="58" applyFont="1" applyBorder="1" applyAlignment="1">
      <alignment horizontal="center" wrapText="1"/>
    </xf>
    <xf numFmtId="0" fontId="27" fillId="0" borderId="37" xfId="58" applyFont="1" applyBorder="1" applyAlignment="1">
      <alignment horizontal="center" wrapText="1"/>
    </xf>
    <xf numFmtId="0" fontId="27" fillId="0" borderId="38" xfId="58" applyFont="1" applyBorder="1" applyAlignment="1">
      <alignment horizontal="center" wrapText="1"/>
    </xf>
    <xf numFmtId="0" fontId="27" fillId="0" borderId="14" xfId="58" applyFont="1" applyBorder="1" applyAlignment="1">
      <alignment horizontal="center" wrapText="1"/>
    </xf>
    <xf numFmtId="0" fontId="27" fillId="0" borderId="13" xfId="58" applyFont="1" applyBorder="1" applyAlignment="1">
      <alignment horizontal="center" wrapText="1"/>
    </xf>
    <xf numFmtId="0" fontId="27" fillId="0" borderId="12" xfId="58" applyFont="1" applyBorder="1" applyAlignment="1">
      <alignment horizontal="center" wrapText="1"/>
    </xf>
    <xf numFmtId="0" fontId="27" fillId="0" borderId="19" xfId="58" applyFont="1" applyBorder="1" applyAlignment="1">
      <alignment horizontal="center"/>
    </xf>
    <xf numFmtId="0" fontId="27" fillId="0" borderId="20" xfId="58" applyFont="1" applyBorder="1" applyAlignment="1">
      <alignment horizontal="center"/>
    </xf>
    <xf numFmtId="0" fontId="27" fillId="0" borderId="21" xfId="58" applyFont="1" applyBorder="1" applyAlignment="1">
      <alignment horizontal="center"/>
    </xf>
    <xf numFmtId="0" fontId="4" fillId="0" borderId="11" xfId="58" applyFont="1" applyBorder="1" applyAlignment="1">
      <alignment horizontal="center"/>
    </xf>
    <xf numFmtId="0" fontId="4" fillId="0" borderId="42" xfId="58" applyFont="1" applyBorder="1" applyAlignment="1">
      <alignment horizontal="center"/>
    </xf>
    <xf numFmtId="0" fontId="4" fillId="0" borderId="43" xfId="58" applyFont="1" applyBorder="1" applyAlignment="1">
      <alignment horizontal="center"/>
    </xf>
    <xf numFmtId="0" fontId="27" fillId="0" borderId="44" xfId="58" applyFont="1" applyBorder="1" applyAlignment="1">
      <alignment horizontal="center" wrapText="1"/>
    </xf>
    <xf numFmtId="0" fontId="27" fillId="0" borderId="15" xfId="58" applyFont="1" applyBorder="1" applyAlignment="1">
      <alignment horizontal="center"/>
    </xf>
    <xf numFmtId="0" fontId="27" fillId="0" borderId="18" xfId="58" applyFont="1" applyBorder="1" applyAlignment="1">
      <alignment horizontal="center"/>
    </xf>
    <xf numFmtId="0" fontId="27" fillId="0" borderId="35" xfId="58" applyFont="1" applyBorder="1" applyAlignment="1">
      <alignment horizontal="center"/>
    </xf>
    <xf numFmtId="164" fontId="27" fillId="0" borderId="15" xfId="58" applyNumberFormat="1" applyFont="1" applyBorder="1" applyAlignment="1">
      <alignment horizontal="center" wrapText="1"/>
    </xf>
    <xf numFmtId="164" fontId="27" fillId="0" borderId="18" xfId="58" applyNumberFormat="1" applyFont="1" applyBorder="1" applyAlignment="1">
      <alignment horizontal="center" wrapText="1"/>
    </xf>
    <xf numFmtId="164" fontId="27" fillId="0" borderId="35" xfId="58" applyNumberFormat="1" applyFont="1" applyBorder="1" applyAlignment="1">
      <alignment horizontal="center" wrapText="1"/>
    </xf>
    <xf numFmtId="164" fontId="7" fillId="0" borderId="1" xfId="0" applyNumberFormat="1" applyFont="1" applyBorder="1" applyAlignment="1">
      <alignment horizontal="center"/>
    </xf>
    <xf numFmtId="164" fontId="7" fillId="0" borderId="1" xfId="0" applyNumberFormat="1" applyFont="1" applyBorder="1" applyAlignment="1">
      <alignment horizontal="center" vertical="center" wrapText="1"/>
    </xf>
    <xf numFmtId="164" fontId="8" fillId="35" borderId="1" xfId="0" applyNumberFormat="1" applyFont="1" applyFill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164" fontId="8" fillId="36" borderId="1" xfId="0" applyNumberFormat="1" applyFont="1" applyFill="1" applyBorder="1" applyAlignment="1">
      <alignment horizontal="center" vertical="center" wrapText="1"/>
    </xf>
  </cellXfs>
  <cellStyles count="61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57" builtinId="3"/>
    <cellStyle name="Currency 2" xfId="42" xr:uid="{00000000-0005-0000-0000-00001C000000}"/>
    <cellStyle name="Currency 3" xfId="41" xr:uid="{00000000-0005-0000-0000-00001D000000}"/>
    <cellStyle name="Currency 4" xfId="43" xr:uid="{00000000-0005-0000-0000-00001E000000}"/>
    <cellStyle name="Currency 5" xfId="45" xr:uid="{00000000-0005-0000-0000-00001F000000}"/>
    <cellStyle name="Currency 6" xfId="59" xr:uid="{631CD2EF-09F9-448C-922E-394EDC5F3D0F}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4" xr:uid="{00000000-0005-0000-0000-00002A000000}"/>
    <cellStyle name="Normal 2 2" xfId="51" xr:uid="{00000000-0005-0000-0000-00002B000000}"/>
    <cellStyle name="Normal 2 3" xfId="47" xr:uid="{00000000-0005-0000-0000-00002C000000}"/>
    <cellStyle name="Normal 3" xfId="48" xr:uid="{00000000-0005-0000-0000-00002D000000}"/>
    <cellStyle name="Normal 3 2" xfId="52" xr:uid="{00000000-0005-0000-0000-00002E000000}"/>
    <cellStyle name="Normal 4" xfId="49" xr:uid="{00000000-0005-0000-0000-00002F000000}"/>
    <cellStyle name="Normal 4 2" xfId="53" xr:uid="{00000000-0005-0000-0000-000030000000}"/>
    <cellStyle name="Normal 5" xfId="50" xr:uid="{00000000-0005-0000-0000-000031000000}"/>
    <cellStyle name="Normal 5 2" xfId="54" xr:uid="{00000000-0005-0000-0000-000032000000}"/>
    <cellStyle name="Normal 6" xfId="55" xr:uid="{00000000-0005-0000-0000-000033000000}"/>
    <cellStyle name="Normal 7" xfId="46" xr:uid="{00000000-0005-0000-0000-000034000000}"/>
    <cellStyle name="Normal 8" xfId="58" xr:uid="{7381FDA2-D05D-462E-829D-50F289ABE829}"/>
    <cellStyle name="Normal 9" xfId="60" xr:uid="{22BC492C-1F77-4243-B52F-AD80825564E7}"/>
    <cellStyle name="Note 2" xfId="56" xr:uid="{00000000-0005-0000-0000-000035000000}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microsoft.com/office/2017/10/relationships/person" Target="persons/person.xml"/><Relationship Id="rId5" Type="http://schemas.openxmlformats.org/officeDocument/2006/relationships/externalLink" Target="externalLinks/externalLink3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2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charl\Downloads\aug2023daily.xlsx" TargetMode="External"/><Relationship Id="rId1" Type="http://schemas.openxmlformats.org/officeDocument/2006/relationships/externalLinkPath" Target="file:///C:\Users\charl\Downloads\aug2023daily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charl\Downloads\sep2023daily.xlsx" TargetMode="External"/><Relationship Id="rId1" Type="http://schemas.openxmlformats.org/officeDocument/2006/relationships/externalLinkPath" Target="file:///C:\Users\charl\Downloads\sep2023daily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charl\Downloads\oct2023daily.xlsx" TargetMode="External"/><Relationship Id="rId1" Type="http://schemas.openxmlformats.org/officeDocument/2006/relationships/externalLinkPath" Target="file:///C:\Users\charl\Downloads\oct2023daily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charl\Downloads\nov2023daily.xlsx" TargetMode="External"/><Relationship Id="rId1" Type="http://schemas.openxmlformats.org/officeDocument/2006/relationships/externalLinkPath" Target="file:///C:\Users\charl\Downloads\nov2023daily.xlsx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charl\Downloads\dec2023daily.xlsx" TargetMode="External"/><Relationship Id="rId1" Type="http://schemas.openxmlformats.org/officeDocument/2006/relationships/externalLinkPath" Target="file:///C:\Users\charl\Downloads\dec2023dail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onstants"/>
      <sheetName val="WEA"/>
      <sheetName val="Key Statistics"/>
      <sheetName val="Readings"/>
    </sheetNames>
    <sheetDataSet>
      <sheetData sheetId="0">
        <row r="19">
          <cell r="B19">
            <v>33.863999999999997</v>
          </cell>
        </row>
        <row r="23">
          <cell r="B23">
            <v>243.5</v>
          </cell>
        </row>
        <row r="24">
          <cell r="B24">
            <v>17.670000000000002</v>
          </cell>
        </row>
        <row r="25">
          <cell r="B25">
            <v>6.1120000000000001</v>
          </cell>
        </row>
        <row r="30">
          <cell r="B30">
            <v>0.3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onstants"/>
      <sheetName val="WEA"/>
      <sheetName val="Key Statistics"/>
      <sheetName val="Readings"/>
    </sheetNames>
    <sheetDataSet>
      <sheetData sheetId="0">
        <row r="19">
          <cell r="B19">
            <v>33.863999999999997</v>
          </cell>
        </row>
        <row r="23">
          <cell r="B23">
            <v>243.5</v>
          </cell>
        </row>
        <row r="24">
          <cell r="B24">
            <v>17.670000000000002</v>
          </cell>
        </row>
        <row r="25">
          <cell r="B25">
            <v>6.1120000000000001</v>
          </cell>
        </row>
        <row r="30">
          <cell r="B30">
            <v>0.3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onstants"/>
      <sheetName val="WEA"/>
      <sheetName val="Key Statistics"/>
      <sheetName val="Readings"/>
    </sheetNames>
    <sheetDataSet>
      <sheetData sheetId="0">
        <row r="19">
          <cell r="B19">
            <v>33.863999999999997</v>
          </cell>
        </row>
        <row r="23">
          <cell r="B23">
            <v>243.5</v>
          </cell>
        </row>
        <row r="24">
          <cell r="B24">
            <v>17.670000000000002</v>
          </cell>
        </row>
        <row r="25">
          <cell r="B25">
            <v>6.1120000000000001</v>
          </cell>
        </row>
        <row r="30">
          <cell r="B30">
            <v>0.3</v>
          </cell>
        </row>
      </sheetData>
      <sheetData sheetId="1" refreshError="1"/>
      <sheetData sheetId="2" refreshError="1"/>
      <sheetData sheetId="3">
        <row r="6">
          <cell r="G6">
            <v>16.761451296256311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onstants"/>
      <sheetName val="WEA"/>
      <sheetName val="Key Statistics"/>
      <sheetName val="Readings"/>
    </sheetNames>
    <sheetDataSet>
      <sheetData sheetId="0">
        <row r="19">
          <cell r="B19">
            <v>33.863999999999997</v>
          </cell>
        </row>
        <row r="23">
          <cell r="B23">
            <v>243.5</v>
          </cell>
        </row>
        <row r="24">
          <cell r="B24">
            <v>17.670000000000002</v>
          </cell>
        </row>
        <row r="25">
          <cell r="B25">
            <v>6.1120000000000001</v>
          </cell>
        </row>
        <row r="30">
          <cell r="B30">
            <v>0.3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onstants"/>
      <sheetName val="WEA"/>
      <sheetName val="Key Statistics"/>
      <sheetName val="Readings"/>
    </sheetNames>
    <sheetDataSet>
      <sheetData sheetId="0">
        <row r="19">
          <cell r="B19">
            <v>33.863999999999997</v>
          </cell>
        </row>
        <row r="23">
          <cell r="B23">
            <v>243.5</v>
          </cell>
        </row>
        <row r="24">
          <cell r="B24">
            <v>17.670000000000002</v>
          </cell>
        </row>
        <row r="25">
          <cell r="B25">
            <v>6.1120000000000001</v>
          </cell>
        </row>
        <row r="30">
          <cell r="B30">
            <v>0.3</v>
          </cell>
        </row>
      </sheetData>
      <sheetData sheetId="1" refreshError="1"/>
      <sheetData sheetId="2" refreshError="1"/>
      <sheetData sheetId="3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A85"/>
  <sheetViews>
    <sheetView tabSelected="1" topLeftCell="L8" zoomScale="70" zoomScaleNormal="70" workbookViewId="0">
      <selection activeCell="U20" sqref="U20"/>
    </sheetView>
  </sheetViews>
  <sheetFormatPr defaultColWidth="8.81640625" defaultRowHeight="12.5"/>
  <cols>
    <col min="1" max="1" width="11" customWidth="1"/>
    <col min="2" max="2" width="45.7265625" style="1" customWidth="1"/>
    <col min="3" max="3" width="12" style="1" customWidth="1"/>
    <col min="4" max="4" width="12.81640625" style="1" customWidth="1"/>
    <col min="5" max="5" width="12.26953125" style="1" customWidth="1"/>
    <col min="6" max="6" width="13.453125" style="1" customWidth="1"/>
    <col min="7" max="7" width="12.26953125" style="1" customWidth="1"/>
    <col min="8" max="8" width="14.54296875" style="1" customWidth="1"/>
    <col min="9" max="9" width="12.1796875" style="1" customWidth="1"/>
    <col min="10" max="10" width="14.453125" style="5" customWidth="1"/>
    <col min="11" max="11" width="12.54296875" style="1" customWidth="1"/>
    <col min="12" max="12" width="14.1796875" style="1" customWidth="1"/>
    <col min="13" max="13" width="13.26953125" style="1" customWidth="1"/>
    <col min="14" max="15" width="13.7265625" style="1" customWidth="1"/>
    <col min="16" max="16" width="43.54296875" style="1" customWidth="1"/>
    <col min="17" max="17" width="15" style="1" customWidth="1"/>
    <col min="18" max="18" width="14.453125" style="1" customWidth="1"/>
    <col min="19" max="19" width="17.81640625" style="6" customWidth="1"/>
    <col min="20" max="20" width="15.1796875" bestFit="1" customWidth="1"/>
    <col min="21" max="21" width="27.1796875" customWidth="1"/>
    <col min="22" max="22" width="13.54296875" customWidth="1"/>
    <col min="23" max="27" width="8.81640625" customWidth="1"/>
  </cols>
  <sheetData>
    <row r="2" spans="2:27" ht="22.5">
      <c r="C2" s="16"/>
      <c r="D2" s="16"/>
      <c r="E2" s="16"/>
      <c r="F2" s="16"/>
      <c r="G2" s="400" t="s">
        <v>0</v>
      </c>
      <c r="H2" s="400"/>
      <c r="I2" s="400"/>
      <c r="J2" s="400"/>
      <c r="K2" s="400"/>
      <c r="L2" s="400"/>
      <c r="M2" s="16"/>
      <c r="N2" s="16"/>
      <c r="O2" s="16"/>
    </row>
    <row r="3" spans="2:27" ht="12.75" customHeight="1">
      <c r="J3" s="4"/>
    </row>
    <row r="4" spans="2:27" ht="12.75" customHeight="1">
      <c r="G4" s="401" t="s">
        <v>41</v>
      </c>
      <c r="H4" s="401"/>
      <c r="I4" s="401"/>
      <c r="J4" s="401"/>
      <c r="K4" s="401"/>
      <c r="L4" s="401"/>
      <c r="M4" s="17"/>
      <c r="N4" s="17"/>
      <c r="O4" s="17"/>
      <c r="P4" s="13" t="s">
        <v>36</v>
      </c>
      <c r="S4" s="1"/>
      <c r="T4" s="17"/>
      <c r="U4" s="17"/>
      <c r="V4" s="17"/>
      <c r="W4" s="17"/>
      <c r="X4" s="17"/>
      <c r="Y4" s="17"/>
    </row>
    <row r="5" spans="2:27" ht="12.75" customHeight="1">
      <c r="J5" s="4"/>
      <c r="P5" s="14" t="s">
        <v>40</v>
      </c>
      <c r="S5" s="1"/>
    </row>
    <row r="6" spans="2:27" ht="12.75" customHeight="1">
      <c r="G6" s="402" t="s">
        <v>46</v>
      </c>
      <c r="H6" s="402"/>
      <c r="I6" s="402"/>
      <c r="J6" s="402"/>
      <c r="K6" s="402"/>
      <c r="L6" s="402"/>
      <c r="M6" s="2"/>
      <c r="N6" s="2"/>
      <c r="O6" s="2"/>
      <c r="P6" s="38" t="s">
        <v>42</v>
      </c>
      <c r="S6" s="1"/>
      <c r="T6" s="2"/>
      <c r="U6" s="2"/>
      <c r="V6" s="2"/>
      <c r="W6" s="2"/>
      <c r="X6" s="2"/>
      <c r="Y6" s="2"/>
    </row>
    <row r="7" spans="2:27">
      <c r="P7" s="15" t="s">
        <v>43</v>
      </c>
      <c r="S7" s="1"/>
    </row>
    <row r="8" spans="2:27" ht="13">
      <c r="B8"/>
      <c r="F8" s="2"/>
      <c r="O8" s="2"/>
      <c r="P8" s="2"/>
    </row>
    <row r="9" spans="2:27" ht="8.25" customHeight="1">
      <c r="N9" s="2"/>
      <c r="O9" s="2"/>
      <c r="P9" s="2"/>
      <c r="T9" s="399"/>
      <c r="U9" s="399"/>
      <c r="V9" s="399"/>
      <c r="W9" s="399"/>
      <c r="X9" s="399"/>
      <c r="Y9" s="399"/>
      <c r="Z9" s="399"/>
    </row>
    <row r="10" spans="2:27" ht="52">
      <c r="B10" s="22"/>
      <c r="C10" s="11" t="s">
        <v>1</v>
      </c>
      <c r="D10" s="23" t="s">
        <v>39</v>
      </c>
      <c r="E10" s="11" t="s">
        <v>2</v>
      </c>
      <c r="F10" s="23" t="s">
        <v>39</v>
      </c>
      <c r="G10" s="11" t="s">
        <v>3</v>
      </c>
      <c r="H10" s="23" t="s">
        <v>39</v>
      </c>
      <c r="I10" s="11" t="s">
        <v>4</v>
      </c>
      <c r="J10" s="23" t="s">
        <v>39</v>
      </c>
      <c r="K10" s="24" t="s">
        <v>5</v>
      </c>
      <c r="L10" s="23" t="s">
        <v>39</v>
      </c>
      <c r="M10" s="11" t="s">
        <v>6</v>
      </c>
      <c r="N10" s="23" t="s">
        <v>39</v>
      </c>
      <c r="O10"/>
      <c r="P10" s="8"/>
      <c r="Q10" s="12" t="s">
        <v>52</v>
      </c>
      <c r="R10" s="12" t="s">
        <v>48</v>
      </c>
      <c r="S10" s="12" t="s">
        <v>49</v>
      </c>
      <c r="T10" s="12" t="s">
        <v>37</v>
      </c>
      <c r="U10" s="18" t="s">
        <v>44</v>
      </c>
      <c r="V10" s="19"/>
      <c r="W10" s="21"/>
      <c r="X10" s="20"/>
      <c r="Y10" s="20"/>
      <c r="Z10" s="19"/>
      <c r="AA10" s="20"/>
    </row>
    <row r="11" spans="2:27" ht="14.5">
      <c r="B11" s="22" t="s">
        <v>13</v>
      </c>
      <c r="C11" s="25">
        <v>5.2870967740000001</v>
      </c>
      <c r="D11" s="26">
        <v>0.68709677400000002</v>
      </c>
      <c r="E11" s="25">
        <v>6.3</v>
      </c>
      <c r="F11" s="39">
        <v>2.1</v>
      </c>
      <c r="G11" s="25">
        <v>7.56</v>
      </c>
      <c r="H11" s="26">
        <v>1.76</v>
      </c>
      <c r="I11" s="25">
        <v>9.0519999999999996</v>
      </c>
      <c r="J11" s="35">
        <v>0.6</v>
      </c>
      <c r="K11" s="25">
        <v>13.062741935483871</v>
      </c>
      <c r="L11" s="26">
        <v>1.1379999999999999</v>
      </c>
      <c r="M11" s="25">
        <v>17.687999999999999</v>
      </c>
      <c r="N11" s="37">
        <v>2.8</v>
      </c>
      <c r="O11"/>
      <c r="P11" s="8" t="s">
        <v>13</v>
      </c>
      <c r="Q11" s="396">
        <v>11.852636757182214</v>
      </c>
      <c r="R11" s="428">
        <v>9.6999999999999993</v>
      </c>
      <c r="S11" s="429">
        <v>0.7</v>
      </c>
      <c r="T11" s="430">
        <f>Q11-R11</f>
        <v>2.1526367571822149</v>
      </c>
      <c r="U11" t="s">
        <v>128</v>
      </c>
    </row>
    <row r="12" spans="2:27" ht="14.5">
      <c r="B12" s="22" t="s">
        <v>14</v>
      </c>
      <c r="C12" s="25">
        <v>13.7</v>
      </c>
      <c r="D12" s="26">
        <v>0.9</v>
      </c>
      <c r="E12" s="25">
        <v>14.8</v>
      </c>
      <c r="F12" s="26">
        <v>2</v>
      </c>
      <c r="G12" s="25">
        <v>15.9</v>
      </c>
      <c r="H12" s="26">
        <v>-0.5</v>
      </c>
      <c r="I12" s="25">
        <v>19.100000000000001</v>
      </c>
      <c r="J12" s="39">
        <v>-0.8</v>
      </c>
      <c r="K12" s="25">
        <v>21.8</v>
      </c>
      <c r="L12" s="26">
        <v>-2.4</v>
      </c>
      <c r="M12" s="25">
        <v>29.8</v>
      </c>
      <c r="N12" s="39">
        <v>3</v>
      </c>
      <c r="O12"/>
      <c r="P12" s="8" t="s">
        <v>14</v>
      </c>
      <c r="Q12" s="10">
        <f>MAX(C12,E12,G12,I12,K12,M12,C38,E38,G38,I38,K38,M38)</f>
        <v>31.4</v>
      </c>
      <c r="R12" s="428">
        <v>29.9</v>
      </c>
      <c r="S12" s="429">
        <v>2.4</v>
      </c>
      <c r="T12" s="431">
        <f t="shared" ref="T12:T33" si="0">Q12-R12</f>
        <v>1.5</v>
      </c>
    </row>
    <row r="13" spans="2:27" ht="14.5">
      <c r="B13" s="22" t="s">
        <v>15</v>
      </c>
      <c r="C13" s="25">
        <v>-0.4</v>
      </c>
      <c r="D13" s="27" t="s">
        <v>38</v>
      </c>
      <c r="E13" s="25">
        <v>7.6</v>
      </c>
      <c r="F13" s="27" t="s">
        <v>38</v>
      </c>
      <c r="G13" s="25">
        <v>2.5</v>
      </c>
      <c r="H13" s="27" t="s">
        <v>38</v>
      </c>
      <c r="I13" s="25">
        <v>9.8000000000000007</v>
      </c>
      <c r="J13" s="27" t="s">
        <v>38</v>
      </c>
      <c r="K13" s="25">
        <v>13.7</v>
      </c>
      <c r="L13" s="27" t="s">
        <v>38</v>
      </c>
      <c r="M13" s="25">
        <v>15.2</v>
      </c>
      <c r="N13" s="27" t="s">
        <v>38</v>
      </c>
      <c r="O13"/>
      <c r="P13" s="8" t="s">
        <v>15</v>
      </c>
      <c r="Q13" s="10">
        <f>MIN(C13,E13,G13,I13,K13,M13,C39,E39,G39,I39,K39,M39)</f>
        <v>-0.4</v>
      </c>
      <c r="R13" s="27" t="s">
        <v>38</v>
      </c>
      <c r="S13" s="27" t="s">
        <v>38</v>
      </c>
      <c r="T13" s="27" t="s">
        <v>38</v>
      </c>
    </row>
    <row r="14" spans="2:27" ht="14.5">
      <c r="B14" s="22" t="s">
        <v>16</v>
      </c>
      <c r="C14" s="25">
        <v>8.548</v>
      </c>
      <c r="D14" s="26">
        <v>0.94838709700000001</v>
      </c>
      <c r="E14" s="25">
        <v>10.4</v>
      </c>
      <c r="F14" s="39">
        <v>2.8</v>
      </c>
      <c r="G14" s="25">
        <v>11.135</v>
      </c>
      <c r="H14" s="26">
        <v>0.93500000000000005</v>
      </c>
      <c r="I14" s="25">
        <v>13.78</v>
      </c>
      <c r="J14" s="35">
        <v>0.5</v>
      </c>
      <c r="K14" s="25">
        <v>18.29</v>
      </c>
      <c r="L14" s="35">
        <v>1.49</v>
      </c>
      <c r="M14" s="25">
        <v>23.6</v>
      </c>
      <c r="N14" s="37">
        <v>3.7</v>
      </c>
      <c r="O14"/>
      <c r="P14" s="8" t="s">
        <v>16</v>
      </c>
      <c r="Q14" s="10">
        <v>15.78567482241516</v>
      </c>
      <c r="R14" s="428">
        <v>14</v>
      </c>
      <c r="S14" s="429">
        <v>0.9</v>
      </c>
      <c r="T14" s="430">
        <f t="shared" si="0"/>
        <v>1.7856748224151602</v>
      </c>
    </row>
    <row r="15" spans="2:27" ht="14.5">
      <c r="B15" s="22" t="s">
        <v>17</v>
      </c>
      <c r="C15" s="25">
        <v>-6.2</v>
      </c>
      <c r="D15" s="26">
        <v>-1.4</v>
      </c>
      <c r="E15" s="25">
        <v>-4.0999999999999996</v>
      </c>
      <c r="F15" s="26">
        <v>0.3</v>
      </c>
      <c r="G15" s="25">
        <v>-2.6</v>
      </c>
      <c r="H15" s="26">
        <v>0.7</v>
      </c>
      <c r="I15" s="25">
        <v>-1.2</v>
      </c>
      <c r="J15" s="26">
        <v>-0.1</v>
      </c>
      <c r="K15" s="25">
        <v>4.5</v>
      </c>
      <c r="L15" s="39">
        <v>3</v>
      </c>
      <c r="M15" s="25">
        <v>6.3</v>
      </c>
      <c r="N15" s="26">
        <v>0.9</v>
      </c>
      <c r="O15"/>
      <c r="P15" s="8" t="s">
        <v>17</v>
      </c>
      <c r="Q15" s="10">
        <f>MIN(C15,E15,G15,I15,K15,M15,C41,E41,G41,I41,K41,M41)</f>
        <v>-6.2</v>
      </c>
      <c r="R15" s="428">
        <v>-7.5</v>
      </c>
      <c r="S15" s="429">
        <v>2.7</v>
      </c>
      <c r="T15" s="431">
        <f t="shared" si="0"/>
        <v>1.2999999999999998</v>
      </c>
    </row>
    <row r="16" spans="2:27" ht="14.5">
      <c r="B16" s="22" t="s">
        <v>18</v>
      </c>
      <c r="C16" s="25">
        <v>2.6259999999999999</v>
      </c>
      <c r="D16" s="26">
        <v>0.425806452</v>
      </c>
      <c r="E16" s="25">
        <v>2.8</v>
      </c>
      <c r="F16" s="26">
        <v>1.3</v>
      </c>
      <c r="G16" s="25">
        <v>4.7839999999999998</v>
      </c>
      <c r="H16" s="39">
        <v>2.2839999999999998</v>
      </c>
      <c r="I16" s="25">
        <v>5.1230000000000002</v>
      </c>
      <c r="J16" s="26">
        <v>0.6</v>
      </c>
      <c r="K16" s="25">
        <v>8.4350000000000005</v>
      </c>
      <c r="L16" s="39">
        <v>1.135</v>
      </c>
      <c r="M16" s="25">
        <v>12.1</v>
      </c>
      <c r="N16" s="39">
        <v>1.8</v>
      </c>
      <c r="O16"/>
      <c r="P16" s="8" t="s">
        <v>18</v>
      </c>
      <c r="Q16" s="10">
        <v>7.9161643835616475</v>
      </c>
      <c r="R16" s="428">
        <v>6.3</v>
      </c>
      <c r="S16" s="429">
        <v>0.7</v>
      </c>
      <c r="T16" s="430">
        <f t="shared" si="0"/>
        <v>1.6161643835616477</v>
      </c>
    </row>
    <row r="17" spans="2:21" ht="14.5">
      <c r="B17" s="22" t="s">
        <v>19</v>
      </c>
      <c r="C17" s="25">
        <v>-8.6</v>
      </c>
      <c r="D17" s="26">
        <v>-0.5</v>
      </c>
      <c r="E17" s="25">
        <v>-6.6</v>
      </c>
      <c r="F17" s="26">
        <v>1.8</v>
      </c>
      <c r="G17" s="25">
        <v>-4.2</v>
      </c>
      <c r="H17" s="39">
        <v>3.1</v>
      </c>
      <c r="I17" s="9">
        <v>-5.5</v>
      </c>
      <c r="J17" s="26">
        <v>-0.2</v>
      </c>
      <c r="K17" s="25">
        <v>1.4</v>
      </c>
      <c r="L17" s="39">
        <v>4.0999999999999996</v>
      </c>
      <c r="M17" s="25">
        <v>4.7</v>
      </c>
      <c r="N17" s="39">
        <v>3.1</v>
      </c>
      <c r="O17"/>
      <c r="P17" s="8" t="s">
        <v>19</v>
      </c>
      <c r="Q17" s="10">
        <f>MIN(C17,E17,G17,I17,K17,M17,C43,E43,G43,I43,K43,M43)</f>
        <v>-8.6</v>
      </c>
      <c r="R17" s="428">
        <v>-7.5</v>
      </c>
      <c r="S17" s="429">
        <v>2.7</v>
      </c>
      <c r="T17" s="431">
        <f t="shared" si="0"/>
        <v>-1.0999999999999996</v>
      </c>
    </row>
    <row r="18" spans="2:21" ht="14.5">
      <c r="B18" s="22" t="s">
        <v>20</v>
      </c>
      <c r="C18" s="25">
        <v>0.2</v>
      </c>
      <c r="D18" s="26">
        <v>0.58620689699999995</v>
      </c>
      <c r="E18" s="25">
        <v>-0.3</v>
      </c>
      <c r="F18" s="26">
        <v>0.7</v>
      </c>
      <c r="G18" s="25">
        <v>3.1</v>
      </c>
      <c r="H18" s="37">
        <v>3.206</v>
      </c>
      <c r="I18" s="9">
        <v>3.1</v>
      </c>
      <c r="J18" s="39">
        <v>1.5</v>
      </c>
      <c r="K18" s="25">
        <v>6.1</v>
      </c>
      <c r="L18" s="39">
        <v>1.448</v>
      </c>
      <c r="M18" s="25">
        <v>10.1</v>
      </c>
      <c r="N18" s="39">
        <v>2</v>
      </c>
      <c r="O18"/>
      <c r="P18" s="8" t="s">
        <v>20</v>
      </c>
      <c r="Q18" s="10">
        <v>5.81178082191781</v>
      </c>
      <c r="R18" s="428">
        <v>6.3</v>
      </c>
      <c r="S18" s="429">
        <v>0.7</v>
      </c>
      <c r="T18" s="431">
        <f t="shared" si="0"/>
        <v>-0.48821917808218984</v>
      </c>
    </row>
    <row r="19" spans="2:21" ht="14.5">
      <c r="B19" s="22" t="s">
        <v>21</v>
      </c>
      <c r="C19" s="25">
        <v>-5.6</v>
      </c>
      <c r="D19" s="35">
        <v>-0.3</v>
      </c>
      <c r="E19" s="25">
        <v>-5.0999999999999996</v>
      </c>
      <c r="F19" s="35">
        <v>0</v>
      </c>
      <c r="G19" s="25">
        <v>-3.8</v>
      </c>
      <c r="H19" s="35">
        <v>0.4</v>
      </c>
      <c r="I19" s="36">
        <v>-2</v>
      </c>
      <c r="J19" s="35">
        <v>0</v>
      </c>
      <c r="K19" s="25">
        <v>4.5999999999999996</v>
      </c>
      <c r="L19" s="39">
        <v>3.1</v>
      </c>
      <c r="M19" s="25">
        <v>6.6</v>
      </c>
      <c r="N19" s="35">
        <v>1.1000000000000001</v>
      </c>
      <c r="O19"/>
      <c r="P19" s="8" t="s">
        <v>21</v>
      </c>
      <c r="Q19" s="10">
        <f>MIN(C19,E19,G19,I19,K19,M19,C45,E45,G45,I45,K45,M45)</f>
        <v>-5.6</v>
      </c>
      <c r="R19" s="428">
        <v>-7</v>
      </c>
      <c r="S19" s="429">
        <v>1.7</v>
      </c>
      <c r="T19" s="431">
        <f t="shared" si="0"/>
        <v>1.4000000000000004</v>
      </c>
    </row>
    <row r="20" spans="2:21" ht="14.5">
      <c r="B20" s="22" t="s">
        <v>22</v>
      </c>
      <c r="C20" s="25">
        <v>0.71</v>
      </c>
      <c r="D20" s="35">
        <v>-0.39</v>
      </c>
      <c r="E20" s="25">
        <v>1.1000000000000001</v>
      </c>
      <c r="F20" s="35">
        <v>0.1</v>
      </c>
      <c r="G20" s="25">
        <v>3.7450000000000001</v>
      </c>
      <c r="H20" s="40">
        <v>1.5449999999999999</v>
      </c>
      <c r="I20" s="25">
        <v>4.7130000000000001</v>
      </c>
      <c r="J20" s="35">
        <v>0.6</v>
      </c>
      <c r="K20" s="25">
        <v>8.7390000000000008</v>
      </c>
      <c r="L20" s="40">
        <v>1.2390000000000001</v>
      </c>
      <c r="M20" s="25">
        <v>12.8</v>
      </c>
      <c r="N20" s="40">
        <v>1.9</v>
      </c>
      <c r="O20"/>
      <c r="P20" s="8" t="s">
        <v>22</v>
      </c>
      <c r="Q20" s="10">
        <v>7.1473829201101937</v>
      </c>
      <c r="R20" s="428">
        <v>5.9</v>
      </c>
      <c r="S20" s="429">
        <v>0.7</v>
      </c>
      <c r="T20" s="432">
        <f t="shared" si="0"/>
        <v>1.2473829201101934</v>
      </c>
    </row>
    <row r="21" spans="2:21" ht="14.5">
      <c r="B21" s="22" t="s">
        <v>23</v>
      </c>
      <c r="C21" s="25">
        <v>4.9130000000000003</v>
      </c>
      <c r="D21" s="26">
        <v>-0.38709677399999998</v>
      </c>
      <c r="E21" s="25">
        <v>5.4</v>
      </c>
      <c r="F21" s="26">
        <v>1.1000000000000001</v>
      </c>
      <c r="G21" s="25">
        <v>7.3940000000000001</v>
      </c>
      <c r="H21" s="26">
        <v>1.294</v>
      </c>
      <c r="I21" s="25">
        <v>10.473000000000001</v>
      </c>
      <c r="J21" s="40">
        <v>1.2</v>
      </c>
      <c r="K21" s="25">
        <v>15.231999999999999</v>
      </c>
      <c r="L21" s="39">
        <v>2.032</v>
      </c>
      <c r="M21" s="25">
        <v>19.3</v>
      </c>
      <c r="N21" s="37">
        <v>2.7</v>
      </c>
      <c r="O21"/>
      <c r="P21" s="8" t="s">
        <v>23</v>
      </c>
      <c r="Q21" s="10">
        <v>12.499178082191778</v>
      </c>
      <c r="R21" s="428">
        <v>10.9</v>
      </c>
      <c r="S21" s="429">
        <v>0.7</v>
      </c>
      <c r="T21" s="430">
        <f t="shared" si="0"/>
        <v>1.5991780821917772</v>
      </c>
    </row>
    <row r="22" spans="2:21" ht="14.5">
      <c r="B22" s="22" t="s">
        <v>24</v>
      </c>
      <c r="C22" s="25">
        <v>7.0549999999999997</v>
      </c>
      <c r="D22" s="27" t="s">
        <v>38</v>
      </c>
      <c r="E22" s="25">
        <v>6.2</v>
      </c>
      <c r="F22" s="27" t="s">
        <v>38</v>
      </c>
      <c r="G22" s="25">
        <v>7.4580000000000002</v>
      </c>
      <c r="H22" s="27" t="s">
        <v>38</v>
      </c>
      <c r="I22" s="25">
        <v>9.92</v>
      </c>
      <c r="J22" s="27" t="s">
        <v>38</v>
      </c>
      <c r="K22" s="25">
        <v>13.019</v>
      </c>
      <c r="L22" s="27" t="s">
        <v>38</v>
      </c>
      <c r="M22" s="25">
        <v>16.600000000000001</v>
      </c>
      <c r="N22" s="27" t="s">
        <v>38</v>
      </c>
      <c r="O22"/>
      <c r="P22" s="8" t="s">
        <v>24</v>
      </c>
      <c r="Q22" s="10">
        <v>12.495054945054944</v>
      </c>
      <c r="R22" s="27" t="s">
        <v>38</v>
      </c>
      <c r="S22" s="27" t="s">
        <v>38</v>
      </c>
      <c r="T22" s="27" t="s">
        <v>38</v>
      </c>
    </row>
    <row r="23" spans="2:21">
      <c r="B23" s="22" t="s">
        <v>25</v>
      </c>
      <c r="C23" s="25">
        <v>19.100000000000001</v>
      </c>
      <c r="D23" s="27" t="s">
        <v>38</v>
      </c>
      <c r="E23" s="25">
        <v>5.9</v>
      </c>
      <c r="F23" s="27" t="s">
        <v>38</v>
      </c>
      <c r="G23" s="25">
        <v>15.3</v>
      </c>
      <c r="H23" s="27" t="s">
        <v>38</v>
      </c>
      <c r="I23" s="25">
        <v>11.5</v>
      </c>
      <c r="J23" s="27" t="s">
        <v>38</v>
      </c>
      <c r="K23" s="25">
        <v>14.7</v>
      </c>
      <c r="L23" s="27" t="s">
        <v>38</v>
      </c>
      <c r="M23" s="25">
        <v>23.3</v>
      </c>
      <c r="N23" s="27" t="s">
        <v>38</v>
      </c>
      <c r="O23"/>
      <c r="P23" s="8" t="s">
        <v>25</v>
      </c>
      <c r="Q23" s="10">
        <f>MAX(C23,E23,G23,I23,K23,M23,C49,E49,G49,I49,K49,M49)</f>
        <v>33.9</v>
      </c>
      <c r="R23" s="27" t="s">
        <v>38</v>
      </c>
      <c r="S23" s="27" t="s">
        <v>38</v>
      </c>
      <c r="T23" s="27" t="s">
        <v>38</v>
      </c>
    </row>
    <row r="24" spans="2:21" ht="13">
      <c r="B24" s="22" t="s">
        <v>26</v>
      </c>
      <c r="C24" s="25">
        <v>57.2</v>
      </c>
      <c r="D24" s="26">
        <v>1.55</v>
      </c>
      <c r="E24" s="25">
        <v>7.6</v>
      </c>
      <c r="F24" s="40">
        <v>-34</v>
      </c>
      <c r="G24" s="25">
        <v>133.9</v>
      </c>
      <c r="H24" s="41">
        <v>92.5</v>
      </c>
      <c r="I24" s="25">
        <v>65.900000000000006</v>
      </c>
      <c r="J24" s="26">
        <v>22.4</v>
      </c>
      <c r="K24" s="25">
        <v>51.4</v>
      </c>
      <c r="L24" s="26">
        <v>-0.2</v>
      </c>
      <c r="M24" s="25">
        <v>41.5</v>
      </c>
      <c r="N24" s="26">
        <v>-12.1</v>
      </c>
      <c r="O24"/>
      <c r="P24" s="8" t="s">
        <v>26</v>
      </c>
      <c r="Q24" s="10">
        <v>929.5399999999994</v>
      </c>
      <c r="R24" s="428">
        <v>646.6</v>
      </c>
      <c r="S24" s="429">
        <v>113.5</v>
      </c>
      <c r="T24" s="430">
        <f t="shared" si="0"/>
        <v>282.93999999999937</v>
      </c>
      <c r="U24" t="s">
        <v>50</v>
      </c>
    </row>
    <row r="25" spans="2:21" ht="13">
      <c r="B25" s="22" t="s">
        <v>27</v>
      </c>
      <c r="C25" s="25">
        <v>91.5</v>
      </c>
      <c r="D25" s="37">
        <v>41.92</v>
      </c>
      <c r="E25" s="25">
        <v>91.7</v>
      </c>
      <c r="F25" s="26">
        <v>20</v>
      </c>
      <c r="G25" s="25">
        <v>71.900000000000006</v>
      </c>
      <c r="H25" s="39">
        <v>-42.3</v>
      </c>
      <c r="I25" s="25">
        <v>157.1</v>
      </c>
      <c r="J25" s="35">
        <v>2.2999999999999998</v>
      </c>
      <c r="K25" s="25">
        <v>227.8</v>
      </c>
      <c r="L25" s="26">
        <v>30.9</v>
      </c>
      <c r="M25" s="25">
        <v>244.2</v>
      </c>
      <c r="N25" s="39">
        <v>47.3</v>
      </c>
      <c r="O25"/>
      <c r="P25" s="8" t="s">
        <v>27</v>
      </c>
      <c r="Q25" s="10">
        <v>1657.7199999999996</v>
      </c>
      <c r="R25" s="428">
        <v>1515.1</v>
      </c>
      <c r="S25" s="429">
        <v>149.30000000000001</v>
      </c>
      <c r="T25" s="432">
        <f t="shared" si="0"/>
        <v>142.61999999999966</v>
      </c>
    </row>
    <row r="26" spans="2:21">
      <c r="B26" s="22" t="s">
        <v>28</v>
      </c>
      <c r="C26" s="25">
        <v>2.952</v>
      </c>
      <c r="D26" s="27" t="s">
        <v>38</v>
      </c>
      <c r="E26" s="25">
        <v>3.3</v>
      </c>
      <c r="F26" s="27" t="s">
        <v>38</v>
      </c>
      <c r="G26" s="25">
        <v>2.319</v>
      </c>
      <c r="H26" s="27" t="s">
        <v>38</v>
      </c>
      <c r="I26" s="25">
        <v>5.2370000000000001</v>
      </c>
      <c r="J26" s="27" t="s">
        <v>38</v>
      </c>
      <c r="K26" s="25">
        <v>7.3479999999999999</v>
      </c>
      <c r="L26" s="27" t="s">
        <v>38</v>
      </c>
      <c r="M26" s="25">
        <v>8.1</v>
      </c>
      <c r="N26" s="27" t="s">
        <v>38</v>
      </c>
      <c r="O26"/>
      <c r="P26" s="8" t="s">
        <v>28</v>
      </c>
      <c r="Q26" s="10">
        <v>4.5541758241758226</v>
      </c>
      <c r="R26" s="27" t="s">
        <v>38</v>
      </c>
      <c r="S26" s="27" t="s">
        <v>38</v>
      </c>
      <c r="T26" s="27" t="s">
        <v>38</v>
      </c>
    </row>
    <row r="27" spans="2:21" ht="13">
      <c r="B27" s="22" t="s">
        <v>29</v>
      </c>
      <c r="C27" s="25">
        <v>11.387</v>
      </c>
      <c r="D27" s="26">
        <v>1.5870967739999999</v>
      </c>
      <c r="E27" s="25">
        <v>7.5</v>
      </c>
      <c r="F27" s="40">
        <v>-2.4</v>
      </c>
      <c r="G27" s="25">
        <v>10.742000000000001</v>
      </c>
      <c r="H27" s="26">
        <v>0.94199999999999995</v>
      </c>
      <c r="I27" s="25">
        <v>8.7669999999999995</v>
      </c>
      <c r="J27" s="26">
        <v>-0.5</v>
      </c>
      <c r="K27" s="25">
        <v>9.2579999999999991</v>
      </c>
      <c r="L27" s="26">
        <v>0.75800000000000001</v>
      </c>
      <c r="M27" s="25">
        <v>9.8000000000000007</v>
      </c>
      <c r="N27" s="39">
        <v>1.8</v>
      </c>
      <c r="O27"/>
      <c r="P27" s="8" t="s">
        <v>29</v>
      </c>
      <c r="Q27" s="10">
        <v>9.6</v>
      </c>
      <c r="R27" s="428">
        <v>8.8000000000000007</v>
      </c>
      <c r="S27" s="429">
        <v>0.7</v>
      </c>
      <c r="T27" s="432">
        <f t="shared" si="0"/>
        <v>0.79999999999999893</v>
      </c>
    </row>
    <row r="28" spans="2:21" ht="13">
      <c r="B28" s="22" t="s">
        <v>30</v>
      </c>
      <c r="C28" s="25">
        <v>16</v>
      </c>
      <c r="D28" s="26">
        <v>-1.1000000000000001</v>
      </c>
      <c r="E28" s="25">
        <v>5</v>
      </c>
      <c r="F28" s="39">
        <v>-8.6999999999999993</v>
      </c>
      <c r="G28" s="25">
        <v>27</v>
      </c>
      <c r="H28" s="37">
        <v>12.9</v>
      </c>
      <c r="I28" s="25">
        <v>15</v>
      </c>
      <c r="J28" s="26">
        <v>1.6</v>
      </c>
      <c r="K28" s="25">
        <v>10</v>
      </c>
      <c r="L28" s="26">
        <v>-4</v>
      </c>
      <c r="M28" s="25">
        <v>9</v>
      </c>
      <c r="N28" s="26">
        <v>-2.7</v>
      </c>
      <c r="O28"/>
      <c r="P28" s="8" t="s">
        <v>30</v>
      </c>
      <c r="Q28" s="10">
        <f>SUM(C28,E28,G28,I28,K28,M28,C54,E54,G54,I54,K54,M54)</f>
        <v>186</v>
      </c>
      <c r="R28" s="428">
        <v>170.1</v>
      </c>
      <c r="S28" s="429">
        <v>18</v>
      </c>
      <c r="T28" s="431">
        <f t="shared" si="0"/>
        <v>15.900000000000006</v>
      </c>
    </row>
    <row r="29" spans="2:21">
      <c r="B29" s="22" t="s">
        <v>31</v>
      </c>
      <c r="C29" s="25">
        <v>11</v>
      </c>
      <c r="D29" s="27" t="s">
        <v>38</v>
      </c>
      <c r="E29" s="25">
        <v>1</v>
      </c>
      <c r="F29" s="27" t="s">
        <v>38</v>
      </c>
      <c r="G29" s="25">
        <v>20</v>
      </c>
      <c r="H29" s="27" t="s">
        <v>38</v>
      </c>
      <c r="I29" s="25">
        <v>11</v>
      </c>
      <c r="J29" s="27" t="s">
        <v>38</v>
      </c>
      <c r="K29" s="25">
        <v>6</v>
      </c>
      <c r="L29" s="27" t="s">
        <v>38</v>
      </c>
      <c r="M29" s="25">
        <v>6</v>
      </c>
      <c r="N29" s="27" t="s">
        <v>38</v>
      </c>
      <c r="O29"/>
      <c r="P29" s="8" t="s">
        <v>31</v>
      </c>
      <c r="Q29" s="10">
        <f t="shared" ref="Q28:Q33" si="1">SUM(C29,E29,G29,I29,K29,M29,C55,E55,G55,I55,K55,M55)</f>
        <v>125</v>
      </c>
      <c r="R29" s="27" t="s">
        <v>38</v>
      </c>
      <c r="S29" s="27" t="s">
        <v>38</v>
      </c>
      <c r="T29" s="27" t="s">
        <v>38</v>
      </c>
    </row>
    <row r="30" spans="2:21" ht="14.5">
      <c r="B30" s="22" t="s">
        <v>32</v>
      </c>
      <c r="C30" s="25">
        <v>8</v>
      </c>
      <c r="D30" s="26">
        <v>-0.6</v>
      </c>
      <c r="E30" s="25">
        <v>10</v>
      </c>
      <c r="F30" s="26">
        <v>0.5</v>
      </c>
      <c r="G30" s="25">
        <v>2</v>
      </c>
      <c r="H30" s="26">
        <v>-5.0999999999999996</v>
      </c>
      <c r="I30" s="25">
        <v>1</v>
      </c>
      <c r="J30" s="26">
        <v>-1.7</v>
      </c>
      <c r="K30" s="25">
        <v>0</v>
      </c>
      <c r="L30" s="26">
        <v>0</v>
      </c>
      <c r="M30" s="25">
        <v>0</v>
      </c>
      <c r="N30" s="26">
        <v>0</v>
      </c>
      <c r="O30"/>
      <c r="P30" s="8" t="s">
        <v>32</v>
      </c>
      <c r="Q30" s="10">
        <f t="shared" si="1"/>
        <v>29</v>
      </c>
      <c r="R30" s="428">
        <v>44.9</v>
      </c>
      <c r="S30" s="429">
        <v>16.2</v>
      </c>
      <c r="T30" s="431">
        <f t="shared" si="0"/>
        <v>-15.899999999999999</v>
      </c>
    </row>
    <row r="31" spans="2:21" ht="14.5">
      <c r="B31" s="22" t="s">
        <v>33</v>
      </c>
      <c r="C31" s="25">
        <v>12</v>
      </c>
      <c r="D31" s="35">
        <v>-4.7</v>
      </c>
      <c r="E31" s="25">
        <v>16</v>
      </c>
      <c r="F31" s="26">
        <v>-0.6</v>
      </c>
      <c r="G31" s="25">
        <v>6</v>
      </c>
      <c r="H31" s="37">
        <v>-10</v>
      </c>
      <c r="I31" s="25">
        <v>6</v>
      </c>
      <c r="J31" s="26">
        <v>-4.5</v>
      </c>
      <c r="K31" s="25">
        <v>0</v>
      </c>
      <c r="L31" s="39">
        <v>-4</v>
      </c>
      <c r="M31" s="25">
        <v>0</v>
      </c>
      <c r="N31" s="26">
        <v>-0.3</v>
      </c>
      <c r="O31"/>
      <c r="P31" s="8" t="s">
        <v>33</v>
      </c>
      <c r="Q31" s="10">
        <f t="shared" si="1"/>
        <v>57</v>
      </c>
      <c r="R31" s="428">
        <v>101.2</v>
      </c>
      <c r="S31" s="429">
        <v>17.8</v>
      </c>
      <c r="T31" s="430">
        <f t="shared" si="0"/>
        <v>-44.2</v>
      </c>
    </row>
    <row r="32" spans="2:21" ht="13">
      <c r="B32" s="22" t="s">
        <v>34</v>
      </c>
      <c r="C32" s="25">
        <v>1</v>
      </c>
      <c r="D32" s="28">
        <v>-2.9</v>
      </c>
      <c r="E32" s="25">
        <v>1</v>
      </c>
      <c r="F32" s="26">
        <v>-1.9</v>
      </c>
      <c r="G32" s="25">
        <v>0</v>
      </c>
      <c r="H32" s="28">
        <v>-1.7</v>
      </c>
      <c r="I32" s="25">
        <v>0</v>
      </c>
      <c r="J32" s="28">
        <v>-0.4</v>
      </c>
      <c r="K32" s="25">
        <v>0</v>
      </c>
      <c r="L32" s="26">
        <v>0</v>
      </c>
      <c r="M32" s="25">
        <v>0</v>
      </c>
      <c r="N32" s="26">
        <v>-0.1</v>
      </c>
      <c r="O32"/>
      <c r="P32" s="8" t="s">
        <v>34</v>
      </c>
      <c r="Q32" s="10">
        <f t="shared" si="1"/>
        <v>4</v>
      </c>
      <c r="R32" s="428">
        <v>19.5</v>
      </c>
      <c r="S32" s="429">
        <v>10.199999999999999</v>
      </c>
      <c r="T32" s="432">
        <f t="shared" si="0"/>
        <v>-15.5</v>
      </c>
    </row>
    <row r="33" spans="1:20" ht="13">
      <c r="B33" s="22" t="s">
        <v>35</v>
      </c>
      <c r="C33" s="29">
        <v>0</v>
      </c>
      <c r="D33" s="26">
        <v>-1.7</v>
      </c>
      <c r="E33" s="30">
        <v>0</v>
      </c>
      <c r="F33" s="26">
        <v>-3</v>
      </c>
      <c r="G33" s="30">
        <v>0</v>
      </c>
      <c r="H33" s="26">
        <v>-0.9</v>
      </c>
      <c r="I33" s="30">
        <v>0</v>
      </c>
      <c r="J33" s="26">
        <v>-0.1</v>
      </c>
      <c r="K33" s="31">
        <v>0</v>
      </c>
      <c r="L33" s="26">
        <v>0</v>
      </c>
      <c r="M33" s="25">
        <v>0</v>
      </c>
      <c r="N33" s="26">
        <v>0</v>
      </c>
      <c r="O33"/>
      <c r="P33" s="8" t="s">
        <v>35</v>
      </c>
      <c r="Q33" s="10">
        <f t="shared" si="1"/>
        <v>0</v>
      </c>
      <c r="R33" s="428">
        <v>9.3000000000000007</v>
      </c>
      <c r="S33" s="429">
        <v>10.4</v>
      </c>
      <c r="T33" s="431">
        <f t="shared" si="0"/>
        <v>-9.3000000000000007</v>
      </c>
    </row>
    <row r="34" spans="1:20" ht="12" customHeight="1">
      <c r="B34" s="3"/>
      <c r="C34" s="3"/>
      <c r="D34" s="32"/>
      <c r="E34" s="3"/>
      <c r="F34" s="7"/>
      <c r="G34" s="3"/>
      <c r="H34" s="3"/>
      <c r="I34" s="3"/>
      <c r="J34" s="33"/>
      <c r="K34" s="3"/>
      <c r="L34" s="3"/>
      <c r="M34" s="3"/>
      <c r="N34" s="3"/>
      <c r="O34"/>
    </row>
    <row r="35" spans="1:20">
      <c r="A35" s="398"/>
      <c r="B35" s="398"/>
      <c r="C35" s="398"/>
      <c r="D35" s="398"/>
      <c r="E35" s="398"/>
      <c r="F35" s="398"/>
      <c r="G35" s="398"/>
      <c r="H35" s="398"/>
      <c r="I35" s="398"/>
      <c r="J35" s="398"/>
      <c r="K35" s="398"/>
      <c r="L35" s="398"/>
      <c r="M35" s="34"/>
      <c r="O35"/>
    </row>
    <row r="36" spans="1:20" ht="51" customHeight="1">
      <c r="B36" s="22"/>
      <c r="C36" s="11" t="s">
        <v>7</v>
      </c>
      <c r="D36" s="23" t="s">
        <v>39</v>
      </c>
      <c r="E36" s="11" t="s">
        <v>8</v>
      </c>
      <c r="F36" s="23" t="s">
        <v>37</v>
      </c>
      <c r="G36" s="11" t="s">
        <v>9</v>
      </c>
      <c r="H36" s="23" t="s">
        <v>37</v>
      </c>
      <c r="I36" s="11" t="s">
        <v>10</v>
      </c>
      <c r="J36" s="23" t="s">
        <v>37</v>
      </c>
      <c r="K36" s="11" t="s">
        <v>11</v>
      </c>
      <c r="L36" s="23" t="s">
        <v>37</v>
      </c>
      <c r="M36" s="11" t="s">
        <v>12</v>
      </c>
      <c r="N36" s="23" t="s">
        <v>37</v>
      </c>
      <c r="O36"/>
      <c r="S36"/>
    </row>
    <row r="37" spans="1:20" ht="14.5">
      <c r="B37" s="22" t="s">
        <v>13</v>
      </c>
      <c r="C37" s="25">
        <v>16.8</v>
      </c>
      <c r="D37" s="26">
        <v>0.1</v>
      </c>
      <c r="E37" s="25">
        <v>17.068000000000001</v>
      </c>
      <c r="F37" s="26">
        <v>0.36799999999999999</v>
      </c>
      <c r="G37" s="25">
        <v>17.442</v>
      </c>
      <c r="H37" s="41">
        <v>3.742</v>
      </c>
      <c r="I37" s="25">
        <v>13.023</v>
      </c>
      <c r="J37" s="37">
        <v>2.823</v>
      </c>
      <c r="K37" s="25">
        <v>7.8070000000000004</v>
      </c>
      <c r="L37" s="26">
        <v>1.3069999999999999</v>
      </c>
      <c r="M37" s="25">
        <v>7.64</v>
      </c>
      <c r="N37" s="39">
        <v>3.04</v>
      </c>
      <c r="O37"/>
    </row>
    <row r="38" spans="1:20" ht="14.5">
      <c r="B38" s="22" t="s">
        <v>14</v>
      </c>
      <c r="C38" s="25">
        <v>28.1</v>
      </c>
      <c r="D38" s="35">
        <v>-0.2</v>
      </c>
      <c r="E38" s="25">
        <v>25.9</v>
      </c>
      <c r="F38" s="35">
        <v>-1.5</v>
      </c>
      <c r="G38" s="25">
        <v>31.4</v>
      </c>
      <c r="H38" s="37">
        <v>6.9</v>
      </c>
      <c r="I38" s="25">
        <v>24.3</v>
      </c>
      <c r="J38" s="39">
        <v>4.9000000000000004</v>
      </c>
      <c r="K38" s="25">
        <v>15.5</v>
      </c>
      <c r="L38" s="26">
        <v>0.4</v>
      </c>
      <c r="M38" s="25">
        <v>13.8</v>
      </c>
      <c r="N38" s="26">
        <v>1</v>
      </c>
      <c r="O38"/>
      <c r="P38" s="1" t="s">
        <v>45</v>
      </c>
    </row>
    <row r="39" spans="1:20" ht="14.5">
      <c r="B39" s="22" t="s">
        <v>15</v>
      </c>
      <c r="C39" s="25">
        <v>15.2</v>
      </c>
      <c r="D39" s="27" t="s">
        <v>38</v>
      </c>
      <c r="E39" s="25">
        <v>16.3</v>
      </c>
      <c r="F39" s="27" t="s">
        <v>38</v>
      </c>
      <c r="G39" s="25">
        <v>16.899999999999999</v>
      </c>
      <c r="H39" s="27" t="s">
        <v>38</v>
      </c>
      <c r="I39" s="25">
        <v>11.2</v>
      </c>
      <c r="J39" s="27" t="s">
        <v>38</v>
      </c>
      <c r="K39" s="25">
        <v>4.3</v>
      </c>
      <c r="L39" s="27" t="s">
        <v>38</v>
      </c>
      <c r="M39" s="25">
        <v>2.6</v>
      </c>
      <c r="N39" s="27" t="s">
        <v>38</v>
      </c>
      <c r="O39"/>
      <c r="P39" s="1" t="s">
        <v>45</v>
      </c>
    </row>
    <row r="40" spans="1:20" ht="14.5">
      <c r="B40" s="22" t="s">
        <v>16</v>
      </c>
      <c r="C40" s="25">
        <v>21.2</v>
      </c>
      <c r="D40" s="26">
        <v>-0.7</v>
      </c>
      <c r="E40" s="25">
        <v>21.949000000000002</v>
      </c>
      <c r="F40" s="26">
        <v>0.64900000000000002</v>
      </c>
      <c r="G40" s="25">
        <v>22.492999999999999</v>
      </c>
      <c r="H40" s="37">
        <v>3.7930000000000001</v>
      </c>
      <c r="I40" s="25">
        <v>16.997</v>
      </c>
      <c r="J40" s="39">
        <v>2.6970000000000001</v>
      </c>
      <c r="K40" s="25">
        <v>11.15</v>
      </c>
      <c r="L40" s="26">
        <v>1.1499999999999999</v>
      </c>
      <c r="M40" s="25">
        <v>10.273</v>
      </c>
      <c r="N40" s="39">
        <v>2.673</v>
      </c>
      <c r="O40"/>
    </row>
    <row r="41" spans="1:20" ht="14.5">
      <c r="B41" s="22" t="s">
        <v>17</v>
      </c>
      <c r="C41" s="25">
        <v>8.6</v>
      </c>
      <c r="D41" s="26">
        <v>0.9</v>
      </c>
      <c r="E41" s="25">
        <v>9.1999999999999993</v>
      </c>
      <c r="F41" s="39">
        <v>1.9</v>
      </c>
      <c r="G41" s="25">
        <v>7</v>
      </c>
      <c r="H41" s="39">
        <v>3.1</v>
      </c>
      <c r="I41" s="25">
        <v>0.7</v>
      </c>
      <c r="J41" s="35">
        <v>0.6</v>
      </c>
      <c r="K41" s="25">
        <v>-2.9</v>
      </c>
      <c r="L41" s="26">
        <v>-0.1</v>
      </c>
      <c r="M41" s="25">
        <v>-3.4</v>
      </c>
      <c r="N41" s="39">
        <v>1.4</v>
      </c>
      <c r="O41"/>
    </row>
    <row r="42" spans="1:20" ht="14.5">
      <c r="B42" s="22" t="s">
        <v>18</v>
      </c>
      <c r="C42" s="25">
        <v>13</v>
      </c>
      <c r="D42" s="26">
        <v>0.7</v>
      </c>
      <c r="E42" s="25">
        <v>12.987</v>
      </c>
      <c r="F42" s="35">
        <v>0.88700000000000001</v>
      </c>
      <c r="G42" s="25">
        <v>13.19</v>
      </c>
      <c r="H42" s="37">
        <v>3.19</v>
      </c>
      <c r="I42" s="25">
        <v>9.6479999999999997</v>
      </c>
      <c r="J42" s="39">
        <v>2.6480000000000001</v>
      </c>
      <c r="K42" s="25">
        <v>4.8630000000000004</v>
      </c>
      <c r="L42" s="26">
        <v>0.96299999999999997</v>
      </c>
      <c r="M42" s="25">
        <v>5.2060000000000004</v>
      </c>
      <c r="N42" s="39">
        <v>3.0059999999999998</v>
      </c>
      <c r="O42"/>
    </row>
    <row r="43" spans="1:20" ht="14.5">
      <c r="B43" s="22" t="s">
        <v>19</v>
      </c>
      <c r="C43" s="25">
        <v>5.6</v>
      </c>
      <c r="D43" s="39">
        <v>1.7</v>
      </c>
      <c r="E43" s="25">
        <v>8.4</v>
      </c>
      <c r="F43" s="41" t="s">
        <v>47</v>
      </c>
      <c r="G43" s="25">
        <v>5.3</v>
      </c>
      <c r="H43" s="37">
        <v>5.3</v>
      </c>
      <c r="I43" s="25">
        <v>-1</v>
      </c>
      <c r="J43" s="39">
        <v>2.8</v>
      </c>
      <c r="K43" s="25">
        <v>-6.1</v>
      </c>
      <c r="L43" s="26">
        <v>0.3</v>
      </c>
      <c r="M43" s="25">
        <v>-7.3</v>
      </c>
      <c r="N43" s="26">
        <v>0.8</v>
      </c>
      <c r="O43"/>
    </row>
    <row r="44" spans="1:20" ht="14.5">
      <c r="B44" s="22" t="s">
        <v>20</v>
      </c>
      <c r="C44" s="25">
        <v>11.3</v>
      </c>
      <c r="D44" s="39">
        <v>1.3</v>
      </c>
      <c r="E44" s="25">
        <v>12.6</v>
      </c>
      <c r="F44" s="42">
        <v>3.1</v>
      </c>
      <c r="G44" s="25">
        <v>11.4</v>
      </c>
      <c r="H44" s="41">
        <v>4.3</v>
      </c>
      <c r="I44" s="25">
        <v>7.6</v>
      </c>
      <c r="J44" s="37">
        <v>3.5</v>
      </c>
      <c r="K44" s="25">
        <v>2</v>
      </c>
      <c r="L44" s="26">
        <v>0.8</v>
      </c>
      <c r="M44" s="25">
        <v>2.4</v>
      </c>
      <c r="N44" s="39">
        <v>2.8</v>
      </c>
      <c r="O44"/>
    </row>
    <row r="45" spans="1:20" ht="14.5">
      <c r="B45" s="22" t="s">
        <v>21</v>
      </c>
      <c r="C45" s="25">
        <v>8.3000000000000007</v>
      </c>
      <c r="D45" s="35">
        <v>0.6</v>
      </c>
      <c r="E45" s="25">
        <v>9.5</v>
      </c>
      <c r="F45" s="40">
        <v>2.5</v>
      </c>
      <c r="G45" s="25">
        <v>6.1</v>
      </c>
      <c r="H45" s="40">
        <v>2.8</v>
      </c>
      <c r="I45" s="25">
        <v>1.2</v>
      </c>
      <c r="J45" s="26">
        <v>1.9</v>
      </c>
      <c r="K45" s="25">
        <v>-4</v>
      </c>
      <c r="L45" s="26">
        <v>-0.2</v>
      </c>
      <c r="M45" s="25">
        <v>-4.3</v>
      </c>
      <c r="N45" s="35">
        <v>1</v>
      </c>
      <c r="O45"/>
    </row>
    <row r="46" spans="1:20" ht="14.5">
      <c r="B46" s="22" t="s">
        <v>22</v>
      </c>
      <c r="C46" s="25">
        <v>13</v>
      </c>
      <c r="D46" s="35">
        <v>0.3</v>
      </c>
      <c r="E46" s="25">
        <v>12.907</v>
      </c>
      <c r="F46" s="35">
        <v>0.60699999999999998</v>
      </c>
      <c r="G46" s="25">
        <v>12.693</v>
      </c>
      <c r="H46" s="42">
        <v>3.1930000000000001</v>
      </c>
      <c r="I46" s="25">
        <v>8.5969999999999995</v>
      </c>
      <c r="J46" s="40">
        <v>2.2970000000000002</v>
      </c>
      <c r="K46" s="25">
        <v>3.3</v>
      </c>
      <c r="L46" s="26">
        <v>0.3</v>
      </c>
      <c r="M46" s="25">
        <v>3.1</v>
      </c>
      <c r="N46" s="40">
        <v>2</v>
      </c>
      <c r="O46"/>
    </row>
    <row r="47" spans="1:20" ht="14.5">
      <c r="B47" s="22" t="s">
        <v>23</v>
      </c>
      <c r="C47" s="25">
        <v>19</v>
      </c>
      <c r="D47" s="35">
        <v>0.6</v>
      </c>
      <c r="E47" s="25">
        <v>19.251999999999999</v>
      </c>
      <c r="F47" s="26">
        <v>1.052</v>
      </c>
      <c r="G47" s="25">
        <v>18.5</v>
      </c>
      <c r="H47" s="37">
        <v>2.6</v>
      </c>
      <c r="I47" s="25">
        <v>13.871</v>
      </c>
      <c r="J47" s="40">
        <v>1.9710000000000001</v>
      </c>
      <c r="K47" s="25">
        <v>8.9629999999999992</v>
      </c>
      <c r="L47" s="26">
        <v>0.96299999999999997</v>
      </c>
      <c r="M47" s="25">
        <v>7.242</v>
      </c>
      <c r="N47" s="40">
        <v>1.9419999999999999</v>
      </c>
      <c r="O47"/>
    </row>
    <row r="48" spans="1:20" ht="14.5">
      <c r="B48" s="22" t="s">
        <v>24</v>
      </c>
      <c r="C48" s="25">
        <v>17.7</v>
      </c>
      <c r="D48" s="27" t="s">
        <v>38</v>
      </c>
      <c r="E48" s="25">
        <v>18</v>
      </c>
      <c r="F48" s="27" t="s">
        <v>38</v>
      </c>
      <c r="G48" s="25">
        <v>18.097000000000001</v>
      </c>
      <c r="H48" s="27" t="s">
        <v>38</v>
      </c>
      <c r="I48" s="25">
        <v>15.365</v>
      </c>
      <c r="J48" s="27" t="s">
        <v>38</v>
      </c>
      <c r="K48" s="25">
        <v>11.503</v>
      </c>
      <c r="L48" s="27" t="s">
        <v>38</v>
      </c>
      <c r="M48" s="25">
        <v>8.8810000000000002</v>
      </c>
      <c r="N48" s="27" t="s">
        <v>38</v>
      </c>
      <c r="O48"/>
    </row>
    <row r="49" spans="2:19">
      <c r="B49" s="22" t="s">
        <v>25</v>
      </c>
      <c r="C49" s="25">
        <v>24.7</v>
      </c>
      <c r="D49" s="27" t="s">
        <v>38</v>
      </c>
      <c r="E49" s="25">
        <v>12.4</v>
      </c>
      <c r="F49" s="27" t="s">
        <v>38</v>
      </c>
      <c r="G49" s="25">
        <v>31.5</v>
      </c>
      <c r="H49" s="27" t="s">
        <v>38</v>
      </c>
      <c r="I49" s="25">
        <v>33.9</v>
      </c>
      <c r="J49" s="27" t="s">
        <v>38</v>
      </c>
      <c r="K49" s="25">
        <v>18.600000000000001</v>
      </c>
      <c r="L49" s="27" t="s">
        <v>38</v>
      </c>
      <c r="M49" s="25">
        <v>20.3</v>
      </c>
      <c r="N49" s="27" t="s">
        <v>38</v>
      </c>
      <c r="O49"/>
    </row>
    <row r="50" spans="2:19">
      <c r="B50" s="22" t="s">
        <v>26</v>
      </c>
      <c r="C50" s="25">
        <v>100.3</v>
      </c>
      <c r="D50" s="26">
        <v>40.9</v>
      </c>
      <c r="E50" s="25">
        <v>65.400000000000006</v>
      </c>
      <c r="F50" s="26">
        <v>6.8</v>
      </c>
      <c r="G50" s="25">
        <v>73</v>
      </c>
      <c r="H50" s="26">
        <v>13.8</v>
      </c>
      <c r="I50" s="25">
        <v>137.80000000000001</v>
      </c>
      <c r="J50" s="39">
        <v>71.900000000000006</v>
      </c>
      <c r="K50" s="25">
        <v>78.5</v>
      </c>
      <c r="L50" s="26">
        <v>16.5</v>
      </c>
      <c r="M50" s="25">
        <v>117.2</v>
      </c>
      <c r="N50" s="37">
        <v>61.6</v>
      </c>
      <c r="O50"/>
    </row>
    <row r="51" spans="2:19">
      <c r="B51" s="22" t="s">
        <v>27</v>
      </c>
      <c r="C51" s="25">
        <v>175</v>
      </c>
      <c r="D51" s="26">
        <v>-19.7</v>
      </c>
      <c r="E51" s="25">
        <v>204</v>
      </c>
      <c r="F51" s="26">
        <v>24.2</v>
      </c>
      <c r="G51" s="25">
        <v>178.9</v>
      </c>
      <c r="H51" s="39">
        <v>39.5</v>
      </c>
      <c r="I51" s="25">
        <v>110.8</v>
      </c>
      <c r="J51" s="26">
        <v>8</v>
      </c>
      <c r="K51" s="25">
        <v>85</v>
      </c>
      <c r="L51" s="39">
        <v>19.7</v>
      </c>
      <c r="M51" s="25">
        <v>29.7</v>
      </c>
      <c r="N51" s="39">
        <v>-19.899999999999999</v>
      </c>
      <c r="O51"/>
    </row>
    <row r="52" spans="2:19">
      <c r="B52" s="22" t="s">
        <v>28</v>
      </c>
      <c r="C52" s="25">
        <v>5.8</v>
      </c>
      <c r="D52" s="27" t="s">
        <v>38</v>
      </c>
      <c r="E52" s="25">
        <v>6.5810000000000004</v>
      </c>
      <c r="F52" s="27" t="s">
        <v>38</v>
      </c>
      <c r="G52" s="25">
        <v>5.9630000000000001</v>
      </c>
      <c r="H52" s="27" t="s">
        <v>38</v>
      </c>
      <c r="I52" s="25">
        <v>3.573</v>
      </c>
      <c r="J52" s="27" t="s">
        <v>38</v>
      </c>
      <c r="K52" s="25">
        <v>2.8330000000000002</v>
      </c>
      <c r="L52" s="27" t="s">
        <v>38</v>
      </c>
      <c r="M52" s="25">
        <v>0.95799999999999996</v>
      </c>
      <c r="N52" s="27" t="s">
        <v>38</v>
      </c>
      <c r="O52"/>
    </row>
    <row r="53" spans="2:19">
      <c r="B53" s="22" t="s">
        <v>29</v>
      </c>
      <c r="C53" s="25">
        <v>11.6</v>
      </c>
      <c r="D53" s="40">
        <v>3.7</v>
      </c>
      <c r="E53" s="25">
        <v>10.226000000000001</v>
      </c>
      <c r="F53" s="39">
        <v>2.3260000000000001</v>
      </c>
      <c r="G53" s="25">
        <v>7.3330000000000002</v>
      </c>
      <c r="H53" s="26">
        <v>-0.46700000000000003</v>
      </c>
      <c r="I53" s="25">
        <v>7.8710000000000004</v>
      </c>
      <c r="J53" s="26">
        <v>-0.52900000000000003</v>
      </c>
      <c r="K53" s="25">
        <v>9.4</v>
      </c>
      <c r="L53" s="26">
        <v>0.4</v>
      </c>
      <c r="M53" s="25">
        <v>10.903</v>
      </c>
      <c r="N53" s="26">
        <v>1.103</v>
      </c>
      <c r="O53"/>
    </row>
    <row r="54" spans="2:19">
      <c r="B54" s="22" t="s">
        <v>30</v>
      </c>
      <c r="C54" s="25">
        <v>20</v>
      </c>
      <c r="D54" s="39">
        <v>7.5</v>
      </c>
      <c r="E54" s="25">
        <v>16</v>
      </c>
      <c r="F54" s="26">
        <v>3</v>
      </c>
      <c r="G54" s="25">
        <v>10</v>
      </c>
      <c r="H54" s="26">
        <v>-2</v>
      </c>
      <c r="I54" s="25">
        <v>17</v>
      </c>
      <c r="J54" s="35">
        <v>2</v>
      </c>
      <c r="K54" s="25">
        <v>18</v>
      </c>
      <c r="L54" s="26">
        <v>2</v>
      </c>
      <c r="M54" s="25">
        <v>23</v>
      </c>
      <c r="N54" s="39">
        <v>6</v>
      </c>
      <c r="O54"/>
    </row>
    <row r="55" spans="2:19">
      <c r="B55" s="22" t="s">
        <v>31</v>
      </c>
      <c r="C55" s="25">
        <v>11</v>
      </c>
      <c r="D55" s="27" t="s">
        <v>38</v>
      </c>
      <c r="E55" s="25">
        <v>11</v>
      </c>
      <c r="F55" s="27" t="s">
        <v>38</v>
      </c>
      <c r="G55" s="25">
        <v>6</v>
      </c>
      <c r="H55" s="27" t="s">
        <v>38</v>
      </c>
      <c r="I55" s="25">
        <v>13</v>
      </c>
      <c r="J55" s="27" t="s">
        <v>38</v>
      </c>
      <c r="K55" s="25">
        <v>11</v>
      </c>
      <c r="L55" s="27" t="s">
        <v>38</v>
      </c>
      <c r="M55" s="25">
        <v>18</v>
      </c>
      <c r="N55" s="27" t="s">
        <v>38</v>
      </c>
      <c r="O55"/>
    </row>
    <row r="56" spans="2:19" ht="14.5">
      <c r="B56" s="22" t="s">
        <v>32</v>
      </c>
      <c r="C56" s="25">
        <v>0</v>
      </c>
      <c r="D56" s="26">
        <v>0</v>
      </c>
      <c r="E56" s="25">
        <v>0</v>
      </c>
      <c r="F56" s="26">
        <v>0</v>
      </c>
      <c r="G56" s="25">
        <v>0</v>
      </c>
      <c r="H56" s="26">
        <v>0</v>
      </c>
      <c r="I56" s="25">
        <v>0</v>
      </c>
      <c r="J56" s="26">
        <v>-1</v>
      </c>
      <c r="K56" s="25">
        <v>3</v>
      </c>
      <c r="L56" s="26">
        <v>-2</v>
      </c>
      <c r="M56" s="25">
        <v>5</v>
      </c>
      <c r="N56" s="26">
        <v>-4</v>
      </c>
      <c r="O56"/>
    </row>
    <row r="57" spans="2:19" ht="14.5">
      <c r="B57" s="22" t="s">
        <v>33</v>
      </c>
      <c r="C57" s="25">
        <v>0</v>
      </c>
      <c r="D57" s="26">
        <v>0</v>
      </c>
      <c r="E57" s="25">
        <v>0</v>
      </c>
      <c r="F57" s="26">
        <v>0</v>
      </c>
      <c r="G57" s="25">
        <v>0</v>
      </c>
      <c r="H57" s="26">
        <v>-1</v>
      </c>
      <c r="I57" s="25">
        <v>2</v>
      </c>
      <c r="J57" s="39">
        <v>-4</v>
      </c>
      <c r="K57" s="25">
        <v>7</v>
      </c>
      <c r="L57" s="39">
        <v>-5</v>
      </c>
      <c r="M57" s="25">
        <v>8</v>
      </c>
      <c r="N57" s="39">
        <v>-9</v>
      </c>
      <c r="O57"/>
    </row>
    <row r="58" spans="2:19">
      <c r="B58" s="22" t="s">
        <v>34</v>
      </c>
      <c r="C58" s="25">
        <v>0</v>
      </c>
      <c r="D58" s="26">
        <v>-0.1</v>
      </c>
      <c r="E58" s="25">
        <v>0</v>
      </c>
      <c r="F58" s="26">
        <v>0</v>
      </c>
      <c r="G58" s="25">
        <v>0</v>
      </c>
      <c r="H58" s="26">
        <v>-1</v>
      </c>
      <c r="I58" s="25">
        <v>0</v>
      </c>
      <c r="J58" s="39">
        <v>-3</v>
      </c>
      <c r="K58" s="25">
        <v>1</v>
      </c>
      <c r="L58" s="26">
        <v>-3</v>
      </c>
      <c r="M58" s="25">
        <v>1</v>
      </c>
      <c r="N58" s="26">
        <v>-3</v>
      </c>
      <c r="O58"/>
    </row>
    <row r="59" spans="2:19">
      <c r="B59" s="22" t="s">
        <v>35</v>
      </c>
      <c r="C59" s="25">
        <v>0</v>
      </c>
      <c r="D59" s="26">
        <v>0</v>
      </c>
      <c r="E59" s="25">
        <v>0</v>
      </c>
      <c r="F59" s="26">
        <v>0</v>
      </c>
      <c r="G59" s="25">
        <v>0</v>
      </c>
      <c r="H59" s="26">
        <v>0</v>
      </c>
      <c r="I59" s="25">
        <v>0</v>
      </c>
      <c r="J59" s="26">
        <v>0</v>
      </c>
      <c r="K59" s="25">
        <v>0</v>
      </c>
      <c r="L59" s="26">
        <v>0</v>
      </c>
      <c r="M59" s="25">
        <v>0</v>
      </c>
      <c r="N59" s="26">
        <v>-2</v>
      </c>
      <c r="O59"/>
    </row>
    <row r="60" spans="2:19" ht="13.5" customHeight="1">
      <c r="F60" s="1" t="s">
        <v>51</v>
      </c>
      <c r="Q60"/>
      <c r="R60"/>
      <c r="S60"/>
    </row>
    <row r="61" spans="2:19" ht="13">
      <c r="D61" s="2"/>
      <c r="J61" s="1"/>
      <c r="L61" s="5"/>
      <c r="Q61"/>
      <c r="R61"/>
      <c r="S61"/>
    </row>
    <row r="62" spans="2:19">
      <c r="E62" s="3"/>
      <c r="G62" s="3"/>
      <c r="H62" s="5"/>
      <c r="I62" s="3"/>
      <c r="Q62"/>
      <c r="R62"/>
      <c r="S62"/>
    </row>
    <row r="63" spans="2:19">
      <c r="E63" s="3"/>
      <c r="G63" s="3"/>
      <c r="H63" s="5"/>
      <c r="I63" s="3"/>
    </row>
    <row r="64" spans="2:19">
      <c r="E64" s="3"/>
      <c r="G64" s="3"/>
      <c r="H64" s="5"/>
      <c r="I64" s="3"/>
    </row>
    <row r="65" spans="5:9">
      <c r="E65" s="3"/>
      <c r="G65" s="3"/>
      <c r="H65" s="5"/>
      <c r="I65" s="3"/>
    </row>
    <row r="66" spans="5:9">
      <c r="E66" s="3"/>
      <c r="G66" s="3"/>
      <c r="H66" s="5"/>
      <c r="I66" s="3"/>
    </row>
    <row r="67" spans="5:9">
      <c r="E67" s="3"/>
      <c r="G67" s="3"/>
      <c r="H67" s="5"/>
      <c r="I67" s="3"/>
    </row>
    <row r="68" spans="5:9">
      <c r="E68" s="3"/>
      <c r="G68" s="3"/>
      <c r="H68" s="5"/>
      <c r="I68" s="3"/>
    </row>
    <row r="69" spans="5:9">
      <c r="E69" s="3"/>
      <c r="G69" s="3"/>
      <c r="H69" s="5"/>
      <c r="I69" s="3"/>
    </row>
    <row r="70" spans="5:9">
      <c r="E70" s="3"/>
      <c r="G70" s="3"/>
      <c r="H70" s="5"/>
      <c r="I70" s="3"/>
    </row>
    <row r="71" spans="5:9">
      <c r="E71" s="3"/>
      <c r="G71" s="3"/>
      <c r="H71" s="5"/>
      <c r="I71" s="3"/>
    </row>
    <row r="72" spans="5:9">
      <c r="E72" s="3"/>
      <c r="G72" s="3"/>
      <c r="H72" s="5"/>
      <c r="I72" s="3"/>
    </row>
    <row r="73" spans="5:9">
      <c r="E73" s="3"/>
      <c r="G73" s="3"/>
      <c r="H73" s="5"/>
      <c r="I73" s="3"/>
    </row>
    <row r="74" spans="5:9">
      <c r="E74" s="3"/>
      <c r="G74" s="3"/>
      <c r="H74" s="5"/>
      <c r="I74" s="3"/>
    </row>
    <row r="75" spans="5:9">
      <c r="E75" s="3"/>
    </row>
    <row r="76" spans="5:9">
      <c r="E76" s="3"/>
    </row>
    <row r="77" spans="5:9">
      <c r="E77" s="3"/>
    </row>
    <row r="78" spans="5:9">
      <c r="E78" s="3"/>
    </row>
    <row r="79" spans="5:9">
      <c r="E79" s="3"/>
    </row>
    <row r="80" spans="5:9">
      <c r="E80" s="3"/>
    </row>
    <row r="81" spans="5:13">
      <c r="E81" s="3"/>
    </row>
    <row r="82" spans="5:13">
      <c r="E82" s="3"/>
    </row>
    <row r="83" spans="5:13">
      <c r="E83" s="3"/>
    </row>
    <row r="84" spans="5:13">
      <c r="E84" s="3"/>
      <c r="G84" s="3"/>
      <c r="I84" s="3"/>
      <c r="J84" s="1"/>
      <c r="K84" s="3"/>
      <c r="L84" s="5"/>
      <c r="M84" s="3"/>
    </row>
    <row r="85" spans="5:13">
      <c r="E85" s="3"/>
      <c r="G85" s="3"/>
      <c r="I85" s="3"/>
      <c r="J85" s="1"/>
      <c r="K85" s="3"/>
      <c r="L85" s="5"/>
      <c r="M85" s="3"/>
    </row>
  </sheetData>
  <mergeCells count="5">
    <mergeCell ref="A35:L35"/>
    <mergeCell ref="T9:Z9"/>
    <mergeCell ref="G2:L2"/>
    <mergeCell ref="G4:L4"/>
    <mergeCell ref="G6:L6"/>
  </mergeCells>
  <phoneticPr fontId="0" type="noConversion"/>
  <pageMargins left="0.75" right="0.75" top="0.48" bottom="0.59" header="0.5" footer="0.5"/>
  <pageSetup paperSize="9" scale="8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B51DBB-9EA9-4D8B-973E-C32F8DAEBAA4}">
  <dimension ref="A1:AB376"/>
  <sheetViews>
    <sheetView topLeftCell="C354" workbookViewId="0">
      <selection activeCell="M7" sqref="M7"/>
    </sheetView>
  </sheetViews>
  <sheetFormatPr defaultRowHeight="12.5"/>
  <cols>
    <col min="1" max="1" width="9.90625" style="22" bestFit="1" customWidth="1"/>
  </cols>
  <sheetData>
    <row r="1" spans="1:28" ht="14.5">
      <c r="A1" s="418" t="s">
        <v>78</v>
      </c>
      <c r="B1" s="403" t="s">
        <v>53</v>
      </c>
      <c r="C1" s="406" t="s">
        <v>54</v>
      </c>
      <c r="D1" s="406" t="s">
        <v>55</v>
      </c>
      <c r="E1" s="406" t="s">
        <v>56</v>
      </c>
      <c r="F1" s="409" t="s">
        <v>57</v>
      </c>
      <c r="G1" s="412" t="s">
        <v>58</v>
      </c>
      <c r="H1" s="413"/>
      <c r="I1" s="413"/>
      <c r="J1" s="413"/>
      <c r="K1" s="413"/>
      <c r="L1" s="413"/>
      <c r="M1" s="413"/>
      <c r="N1" s="413"/>
      <c r="O1" s="413"/>
      <c r="P1" s="413"/>
      <c r="Q1" s="413"/>
      <c r="R1" s="413"/>
      <c r="S1" s="414"/>
      <c r="T1" s="403" t="s">
        <v>59</v>
      </c>
      <c r="U1" s="422" t="s">
        <v>60</v>
      </c>
      <c r="V1" s="406" t="s">
        <v>61</v>
      </c>
      <c r="W1" s="406" t="s">
        <v>62</v>
      </c>
      <c r="X1" s="422" t="s">
        <v>63</v>
      </c>
      <c r="Y1" s="406" t="s">
        <v>64</v>
      </c>
      <c r="Z1" s="422" t="s">
        <v>65</v>
      </c>
      <c r="AA1" s="406" t="s">
        <v>66</v>
      </c>
      <c r="AB1" s="425" t="s">
        <v>67</v>
      </c>
    </row>
    <row r="2" spans="1:28" ht="29" customHeight="1">
      <c r="A2" s="419"/>
      <c r="B2" s="404"/>
      <c r="C2" s="407"/>
      <c r="D2" s="407"/>
      <c r="E2" s="407"/>
      <c r="F2" s="410"/>
      <c r="G2" s="407" t="s">
        <v>68</v>
      </c>
      <c r="H2" s="426" t="s">
        <v>69</v>
      </c>
      <c r="I2" s="407" t="s">
        <v>70</v>
      </c>
      <c r="J2" s="63" t="s">
        <v>71</v>
      </c>
      <c r="K2" s="407" t="s">
        <v>72</v>
      </c>
      <c r="L2" s="407" t="s">
        <v>73</v>
      </c>
      <c r="M2" s="421" t="s">
        <v>113</v>
      </c>
      <c r="N2" s="64" t="s">
        <v>74</v>
      </c>
      <c r="O2" s="64" t="s">
        <v>75</v>
      </c>
      <c r="P2" s="64" t="s">
        <v>76</v>
      </c>
      <c r="Q2" s="415" t="s">
        <v>77</v>
      </c>
      <c r="R2" s="416"/>
      <c r="S2" s="417"/>
      <c r="T2" s="404"/>
      <c r="U2" s="423"/>
      <c r="V2" s="407"/>
      <c r="W2" s="407"/>
      <c r="X2" s="423"/>
      <c r="Y2" s="407"/>
      <c r="Z2" s="423"/>
      <c r="AA2" s="407"/>
      <c r="AB2" s="426"/>
    </row>
    <row r="3" spans="1:28" ht="14.5">
      <c r="A3" s="420"/>
      <c r="B3" s="405"/>
      <c r="C3" s="408"/>
      <c r="D3" s="408"/>
      <c r="E3" s="408"/>
      <c r="F3" s="411"/>
      <c r="G3" s="407"/>
      <c r="H3" s="426"/>
      <c r="I3" s="407"/>
      <c r="J3" s="63"/>
      <c r="K3" s="407"/>
      <c r="L3" s="407"/>
      <c r="M3" s="408"/>
      <c r="N3" s="64"/>
      <c r="O3" s="64"/>
      <c r="P3" s="64"/>
      <c r="Q3" s="107" t="s">
        <v>79</v>
      </c>
      <c r="R3" s="106" t="s">
        <v>80</v>
      </c>
      <c r="S3" s="107" t="s">
        <v>81</v>
      </c>
      <c r="T3" s="405"/>
      <c r="U3" s="424"/>
      <c r="V3" s="408"/>
      <c r="W3" s="408"/>
      <c r="X3" s="424"/>
      <c r="Y3" s="408"/>
      <c r="Z3" s="424"/>
      <c r="AA3" s="408"/>
      <c r="AB3" s="427"/>
    </row>
    <row r="4" spans="1:28" ht="14.5">
      <c r="A4" s="394">
        <v>44927</v>
      </c>
      <c r="B4" s="377">
        <v>66.400000000000006</v>
      </c>
      <c r="C4" s="62">
        <v>29.61</v>
      </c>
      <c r="D4" s="53">
        <v>1002.7130399999999</v>
      </c>
      <c r="E4" s="71">
        <v>1007.1</v>
      </c>
      <c r="F4" s="57">
        <v>79.859461658570467</v>
      </c>
      <c r="G4" s="85">
        <v>5.7108341935616975</v>
      </c>
      <c r="H4" s="45">
        <v>9</v>
      </c>
      <c r="I4" s="43">
        <v>9</v>
      </c>
      <c r="J4" s="51">
        <v>7.5</v>
      </c>
      <c r="K4" s="43">
        <v>11.2</v>
      </c>
      <c r="L4" s="43">
        <v>11.2</v>
      </c>
      <c r="M4" s="43">
        <f t="shared" ref="M4:M35" si="0">AVERAGE(K4,N4)</f>
        <v>10</v>
      </c>
      <c r="N4" s="43">
        <v>8.8000000000000007</v>
      </c>
      <c r="O4" s="65">
        <v>6.7</v>
      </c>
      <c r="P4" s="43">
        <v>6.1</v>
      </c>
      <c r="Q4" s="43">
        <v>7</v>
      </c>
      <c r="R4" s="43">
        <v>7.5</v>
      </c>
      <c r="S4" s="43">
        <v>7.3</v>
      </c>
      <c r="T4" s="44">
        <v>3</v>
      </c>
      <c r="U4" s="46">
        <v>1</v>
      </c>
      <c r="V4" s="89"/>
      <c r="W4" s="47">
        <v>0.1</v>
      </c>
      <c r="X4" s="46">
        <v>8</v>
      </c>
      <c r="Y4" s="46">
        <v>3</v>
      </c>
      <c r="Z4" s="48" t="s">
        <v>82</v>
      </c>
      <c r="AA4" s="49">
        <v>18</v>
      </c>
      <c r="AB4" s="50">
        <v>12.600000000000001</v>
      </c>
    </row>
    <row r="5" spans="1:28" ht="14.5">
      <c r="A5" s="394">
        <f>A4+1</f>
        <v>44928</v>
      </c>
      <c r="B5" s="378">
        <v>67.2</v>
      </c>
      <c r="C5" s="56">
        <v>29.835999999999999</v>
      </c>
      <c r="D5" s="53">
        <v>1010.3663039999999</v>
      </c>
      <c r="E5" s="44">
        <v>1014.5</v>
      </c>
      <c r="F5" s="50">
        <v>95.092593711548076</v>
      </c>
      <c r="G5" s="85">
        <v>3.8822179733105973</v>
      </c>
      <c r="H5" s="45">
        <v>4.5999999999999996</v>
      </c>
      <c r="I5" s="43">
        <v>4.5999999999999996</v>
      </c>
      <c r="J5" s="51">
        <v>4.3</v>
      </c>
      <c r="K5" s="43">
        <v>9</v>
      </c>
      <c r="L5" s="43">
        <v>9.1999999999999993</v>
      </c>
      <c r="M5" s="43">
        <f t="shared" si="0"/>
        <v>6.7</v>
      </c>
      <c r="N5" s="65">
        <v>4.4000000000000004</v>
      </c>
      <c r="O5" s="51">
        <v>0.4</v>
      </c>
      <c r="P5" s="51">
        <v>1.9</v>
      </c>
      <c r="Q5" s="43">
        <v>5.3</v>
      </c>
      <c r="R5" s="43">
        <v>7.2</v>
      </c>
      <c r="S5" s="43">
        <v>7.5</v>
      </c>
      <c r="T5" s="44">
        <v>0.6</v>
      </c>
      <c r="U5" s="46">
        <v>1</v>
      </c>
      <c r="V5" s="89"/>
      <c r="W5" s="44">
        <v>6</v>
      </c>
      <c r="X5" s="46">
        <v>8</v>
      </c>
      <c r="Y5" s="46">
        <v>5</v>
      </c>
      <c r="Z5" s="48" t="s">
        <v>82</v>
      </c>
      <c r="AA5" s="49">
        <v>5</v>
      </c>
      <c r="AB5" s="50">
        <v>3.5</v>
      </c>
    </row>
    <row r="6" spans="1:28" ht="14.5">
      <c r="A6" s="394">
        <f t="shared" ref="A6:A69" si="1">A5+1</f>
        <v>44929</v>
      </c>
      <c r="B6" s="61">
        <v>67</v>
      </c>
      <c r="C6" s="66">
        <v>29.864000000000001</v>
      </c>
      <c r="D6" s="53">
        <v>1011.314496</v>
      </c>
      <c r="E6" s="53">
        <v>1017.7</v>
      </c>
      <c r="F6" s="50">
        <v>93.18935923983733</v>
      </c>
      <c r="G6" s="85">
        <v>7.959102394830377</v>
      </c>
      <c r="H6" s="61">
        <v>9</v>
      </c>
      <c r="I6" s="51">
        <v>9</v>
      </c>
      <c r="J6" s="51">
        <v>8.5</v>
      </c>
      <c r="K6" s="51">
        <v>13</v>
      </c>
      <c r="L6" s="51">
        <v>13.1</v>
      </c>
      <c r="M6" s="43">
        <f t="shared" si="0"/>
        <v>7.8</v>
      </c>
      <c r="N6" s="51">
        <v>2.6</v>
      </c>
      <c r="O6" s="51">
        <v>-2.6</v>
      </c>
      <c r="P6" s="51">
        <v>0</v>
      </c>
      <c r="Q6" s="51">
        <v>4.5</v>
      </c>
      <c r="R6" s="51">
        <v>5.8</v>
      </c>
      <c r="S6" s="51">
        <v>7.5</v>
      </c>
      <c r="T6" s="53">
        <v>5.2</v>
      </c>
      <c r="U6" s="72">
        <v>1</v>
      </c>
      <c r="V6" s="89"/>
      <c r="W6" s="51">
        <v>0</v>
      </c>
      <c r="X6" s="72">
        <v>7</v>
      </c>
      <c r="Y6" s="72">
        <v>8</v>
      </c>
      <c r="Z6" s="90" t="s">
        <v>83</v>
      </c>
      <c r="AA6" s="91">
        <v>16</v>
      </c>
      <c r="AB6" s="50">
        <v>11.2</v>
      </c>
    </row>
    <row r="7" spans="1:28" ht="14.5">
      <c r="A7" s="394">
        <f t="shared" si="1"/>
        <v>44930</v>
      </c>
      <c r="B7" s="61">
        <v>69.099999999999994</v>
      </c>
      <c r="C7" s="66">
        <v>29.771999999999998</v>
      </c>
      <c r="D7" s="53">
        <v>1008.1990079999998</v>
      </c>
      <c r="E7" s="53">
        <v>1012.8</v>
      </c>
      <c r="F7" s="50">
        <v>82.097720291005544</v>
      </c>
      <c r="G7" s="85">
        <v>9.2371936771942433</v>
      </c>
      <c r="H7" s="73">
        <v>12.2</v>
      </c>
      <c r="I7" s="60">
        <v>12.3</v>
      </c>
      <c r="J7" s="53">
        <v>10.7</v>
      </c>
      <c r="K7" s="51">
        <v>13.5</v>
      </c>
      <c r="L7" s="51">
        <v>13.7</v>
      </c>
      <c r="M7" s="43">
        <f t="shared" si="0"/>
        <v>11.2</v>
      </c>
      <c r="N7" s="51">
        <v>8.9</v>
      </c>
      <c r="O7" s="65">
        <v>8.1999999999999993</v>
      </c>
      <c r="P7" s="51">
        <v>7.4</v>
      </c>
      <c r="Q7" s="51">
        <v>9</v>
      </c>
      <c r="R7" s="53">
        <v>7.2</v>
      </c>
      <c r="S7" s="51">
        <v>7.5</v>
      </c>
      <c r="T7" s="53">
        <v>0.2</v>
      </c>
      <c r="U7" s="60">
        <v>1</v>
      </c>
      <c r="V7" s="89"/>
      <c r="W7" s="51">
        <v>1</v>
      </c>
      <c r="X7" s="60">
        <v>7</v>
      </c>
      <c r="Y7" s="60">
        <v>7</v>
      </c>
      <c r="Z7" s="90" t="s">
        <v>82</v>
      </c>
      <c r="AA7" s="91">
        <v>17</v>
      </c>
      <c r="AB7" s="50">
        <v>11.9</v>
      </c>
    </row>
    <row r="8" spans="1:28" ht="14.5">
      <c r="A8" s="394">
        <f t="shared" si="1"/>
        <v>44931</v>
      </c>
      <c r="B8" s="61">
        <v>70.599999999999994</v>
      </c>
      <c r="C8" s="67">
        <v>29.943999999999999</v>
      </c>
      <c r="D8" s="53">
        <v>1014.0236159999998</v>
      </c>
      <c r="E8" s="53">
        <v>1017.8</v>
      </c>
      <c r="F8" s="50">
        <v>96.111163464277197</v>
      </c>
      <c r="G8" s="85">
        <v>9.8071035410667324</v>
      </c>
      <c r="H8" s="61">
        <v>10.4</v>
      </c>
      <c r="I8" s="51">
        <v>10.5</v>
      </c>
      <c r="J8" s="51">
        <v>10.1</v>
      </c>
      <c r="K8" s="51">
        <v>12.9</v>
      </c>
      <c r="L8" s="51">
        <v>13.1</v>
      </c>
      <c r="M8" s="43">
        <f>AVERAGE(K8,N8)</f>
        <v>10.9</v>
      </c>
      <c r="N8" s="65">
        <v>8.9</v>
      </c>
      <c r="O8" s="51">
        <v>5.2</v>
      </c>
      <c r="P8" s="51">
        <v>6.4</v>
      </c>
      <c r="Q8" s="51">
        <v>7.8</v>
      </c>
      <c r="R8" s="51">
        <v>7.6</v>
      </c>
      <c r="S8" s="51">
        <v>7.6</v>
      </c>
      <c r="T8" s="53">
        <v>1.1000000000000001</v>
      </c>
      <c r="U8" s="72">
        <v>1</v>
      </c>
      <c r="V8" s="89"/>
      <c r="W8" s="51">
        <v>0.1</v>
      </c>
      <c r="X8" s="72">
        <v>8</v>
      </c>
      <c r="Y8" s="72">
        <v>8</v>
      </c>
      <c r="Z8" s="90" t="s">
        <v>84</v>
      </c>
      <c r="AA8" s="91">
        <v>14</v>
      </c>
      <c r="AB8" s="50">
        <v>9.8000000000000007</v>
      </c>
    </row>
    <row r="9" spans="1:28" ht="14.5">
      <c r="A9" s="394">
        <f t="shared" si="1"/>
        <v>44932</v>
      </c>
      <c r="B9" s="61">
        <v>70.3</v>
      </c>
      <c r="C9" s="67">
        <v>29.835999999999999</v>
      </c>
      <c r="D9" s="53">
        <v>1010.3663039999999</v>
      </c>
      <c r="E9" s="53">
        <v>1014.1</v>
      </c>
      <c r="F9" s="50">
        <v>89.666710372868536</v>
      </c>
      <c r="G9" s="85">
        <v>5.3205973208737634</v>
      </c>
      <c r="H9" s="61">
        <v>6.9</v>
      </c>
      <c r="I9" s="51">
        <v>7</v>
      </c>
      <c r="J9" s="51">
        <v>6.2</v>
      </c>
      <c r="K9" s="51">
        <v>12.6</v>
      </c>
      <c r="L9" s="51">
        <v>12.7</v>
      </c>
      <c r="M9" s="43">
        <f t="shared" si="0"/>
        <v>9.6999999999999993</v>
      </c>
      <c r="N9" s="51">
        <v>6.8</v>
      </c>
      <c r="O9" s="51">
        <v>3.9</v>
      </c>
      <c r="P9" s="51">
        <v>4.8</v>
      </c>
      <c r="Q9" s="51">
        <v>6.9</v>
      </c>
      <c r="R9" s="51">
        <v>8</v>
      </c>
      <c r="S9" s="51">
        <v>7.8</v>
      </c>
      <c r="T9" s="53">
        <v>2.2999999999999998</v>
      </c>
      <c r="U9" s="72">
        <v>1</v>
      </c>
      <c r="V9" s="89"/>
      <c r="W9" s="51">
        <v>1.4</v>
      </c>
      <c r="X9" s="72">
        <v>8</v>
      </c>
      <c r="Y9" s="72">
        <v>6</v>
      </c>
      <c r="Z9" s="90" t="s">
        <v>82</v>
      </c>
      <c r="AA9" s="91">
        <v>13</v>
      </c>
      <c r="AB9" s="50">
        <v>9.1</v>
      </c>
    </row>
    <row r="10" spans="1:28" ht="14.5">
      <c r="A10" s="394">
        <f t="shared" si="1"/>
        <v>44933</v>
      </c>
      <c r="B10" s="61">
        <v>69</v>
      </c>
      <c r="C10" s="67">
        <v>29.265999999999998</v>
      </c>
      <c r="D10" s="53">
        <v>991.06382399999984</v>
      </c>
      <c r="E10" s="53">
        <v>997.2</v>
      </c>
      <c r="F10" s="50">
        <v>89.668883155471008</v>
      </c>
      <c r="G10" s="85">
        <v>8.6779120988467824</v>
      </c>
      <c r="H10" s="61">
        <v>10.3</v>
      </c>
      <c r="I10" s="51">
        <v>10.3</v>
      </c>
      <c r="J10" s="51">
        <v>9.5</v>
      </c>
      <c r="K10" s="51">
        <v>11.8</v>
      </c>
      <c r="L10" s="51">
        <v>11.9</v>
      </c>
      <c r="M10" s="43">
        <f t="shared" si="0"/>
        <v>9.3500000000000014</v>
      </c>
      <c r="N10" s="53">
        <v>6.9</v>
      </c>
      <c r="O10" s="51">
        <v>5</v>
      </c>
      <c r="P10" s="51">
        <v>5.3</v>
      </c>
      <c r="Q10" s="51">
        <v>8.9</v>
      </c>
      <c r="R10" s="51">
        <v>8</v>
      </c>
      <c r="S10" s="51">
        <v>7.8</v>
      </c>
      <c r="T10" s="53">
        <v>2.4</v>
      </c>
      <c r="U10" s="72">
        <v>1</v>
      </c>
      <c r="V10" s="54"/>
      <c r="W10" s="51">
        <v>0.6</v>
      </c>
      <c r="X10" s="81">
        <v>5</v>
      </c>
      <c r="Y10" s="81">
        <v>8</v>
      </c>
      <c r="Z10" s="90" t="s">
        <v>85</v>
      </c>
      <c r="AA10" s="91">
        <v>20</v>
      </c>
      <c r="AB10" s="50">
        <v>14</v>
      </c>
    </row>
    <row r="11" spans="1:28" ht="14.5">
      <c r="A11" s="394">
        <f t="shared" si="1"/>
        <v>44934</v>
      </c>
      <c r="B11" s="61">
        <v>68.2</v>
      </c>
      <c r="C11" s="67">
        <v>29.096</v>
      </c>
      <c r="D11" s="53">
        <v>985.30694399999993</v>
      </c>
      <c r="E11" s="53">
        <v>991.8</v>
      </c>
      <c r="F11" s="50">
        <v>89.407359945894456</v>
      </c>
      <c r="G11" s="85">
        <v>4.6866592737160193</v>
      </c>
      <c r="H11" s="61">
        <v>6.3</v>
      </c>
      <c r="I11" s="51">
        <v>6.4</v>
      </c>
      <c r="J11" s="51">
        <v>5.6</v>
      </c>
      <c r="K11" s="51">
        <v>8.6</v>
      </c>
      <c r="L11" s="51">
        <v>8.6</v>
      </c>
      <c r="M11" s="43">
        <f t="shared" si="0"/>
        <v>7.35</v>
      </c>
      <c r="N11" s="51">
        <v>6.1</v>
      </c>
      <c r="O11" s="51">
        <v>4.4000000000000004</v>
      </c>
      <c r="P11" s="51">
        <v>3.7</v>
      </c>
      <c r="Q11" s="51">
        <v>5.6</v>
      </c>
      <c r="R11" s="51">
        <v>7.6</v>
      </c>
      <c r="S11" s="51">
        <v>8</v>
      </c>
      <c r="T11" s="51">
        <v>0.3</v>
      </c>
      <c r="U11" s="72">
        <v>1</v>
      </c>
      <c r="V11" s="53"/>
      <c r="W11" s="53">
        <v>1.5</v>
      </c>
      <c r="X11" s="72">
        <v>8</v>
      </c>
      <c r="Y11" s="72">
        <v>6</v>
      </c>
      <c r="Z11" s="90" t="s">
        <v>82</v>
      </c>
      <c r="AA11" s="91">
        <v>13</v>
      </c>
      <c r="AB11" s="50">
        <v>9.1</v>
      </c>
    </row>
    <row r="12" spans="1:28" ht="14.5">
      <c r="A12" s="394">
        <f t="shared" si="1"/>
        <v>44935</v>
      </c>
      <c r="B12" s="61">
        <v>68.900000000000006</v>
      </c>
      <c r="C12" s="67">
        <v>29.335999999999999</v>
      </c>
      <c r="D12" s="53">
        <v>993.43430399999988</v>
      </c>
      <c r="E12" s="53">
        <v>998</v>
      </c>
      <c r="F12" s="50">
        <v>82.260857855110231</v>
      </c>
      <c r="G12" s="85">
        <v>3.8908072569988863</v>
      </c>
      <c r="H12" s="61">
        <v>6.7</v>
      </c>
      <c r="I12" s="51">
        <v>6.8</v>
      </c>
      <c r="J12" s="51">
        <v>5.5</v>
      </c>
      <c r="K12" s="51">
        <v>8.6</v>
      </c>
      <c r="L12" s="51">
        <v>8.6999999999999993</v>
      </c>
      <c r="M12" s="43">
        <f t="shared" si="0"/>
        <v>6.55</v>
      </c>
      <c r="N12" s="51">
        <v>4.5</v>
      </c>
      <c r="O12" s="51">
        <v>2.6</v>
      </c>
      <c r="P12" s="51">
        <v>2.7</v>
      </c>
      <c r="Q12" s="51">
        <v>4.4000000000000004</v>
      </c>
      <c r="R12" s="51">
        <v>6.8</v>
      </c>
      <c r="S12" s="51">
        <v>8.1</v>
      </c>
      <c r="T12" s="53">
        <v>4.4000000000000004</v>
      </c>
      <c r="U12" s="72">
        <v>1</v>
      </c>
      <c r="V12" s="93"/>
      <c r="W12" s="51">
        <v>4.5999999999999996</v>
      </c>
      <c r="X12" s="72">
        <v>8</v>
      </c>
      <c r="Y12" s="72">
        <v>7</v>
      </c>
      <c r="Z12" s="90" t="s">
        <v>82</v>
      </c>
      <c r="AA12" s="91">
        <v>11</v>
      </c>
      <c r="AB12" s="50">
        <v>7.7</v>
      </c>
    </row>
    <row r="13" spans="1:28" ht="14.5">
      <c r="A13" s="394">
        <f t="shared" si="1"/>
        <v>44936</v>
      </c>
      <c r="B13" s="61">
        <v>69</v>
      </c>
      <c r="C13" s="67">
        <v>29.54</v>
      </c>
      <c r="D13" s="53">
        <v>1000.3425599999999</v>
      </c>
      <c r="E13" s="53">
        <v>1007.5</v>
      </c>
      <c r="F13" s="50">
        <v>92.805325789865478</v>
      </c>
      <c r="G13" s="85">
        <v>6.5105848815107521</v>
      </c>
      <c r="H13" s="61">
        <v>7.6</v>
      </c>
      <c r="I13" s="51">
        <v>7.7</v>
      </c>
      <c r="J13" s="51">
        <v>7.1</v>
      </c>
      <c r="K13" s="51">
        <v>13.4</v>
      </c>
      <c r="L13" s="51">
        <v>13.6</v>
      </c>
      <c r="M13" s="43">
        <f t="shared" si="0"/>
        <v>9.0500000000000007</v>
      </c>
      <c r="N13" s="51">
        <v>4.7</v>
      </c>
      <c r="O13" s="51">
        <v>0.8</v>
      </c>
      <c r="P13" s="51">
        <v>1.7</v>
      </c>
      <c r="Q13" s="51">
        <v>4.5999999999999996</v>
      </c>
      <c r="R13" s="51">
        <v>6.1</v>
      </c>
      <c r="S13" s="51">
        <v>8</v>
      </c>
      <c r="T13" s="51">
        <v>2.2999999999999998</v>
      </c>
      <c r="U13" s="72">
        <v>1</v>
      </c>
      <c r="V13" s="93"/>
      <c r="W13" s="53">
        <v>0</v>
      </c>
      <c r="X13" s="72">
        <v>5</v>
      </c>
      <c r="Y13" s="72">
        <v>8</v>
      </c>
      <c r="Z13" s="90" t="s">
        <v>86</v>
      </c>
      <c r="AA13" s="91">
        <v>21</v>
      </c>
      <c r="AB13" s="50">
        <v>14.7</v>
      </c>
    </row>
    <row r="14" spans="1:28" ht="14.5">
      <c r="A14" s="394">
        <f t="shared" si="1"/>
        <v>44937</v>
      </c>
      <c r="B14" s="61">
        <v>69.2</v>
      </c>
      <c r="C14" s="66">
        <v>29.672000000000001</v>
      </c>
      <c r="D14" s="53">
        <v>1004.812608</v>
      </c>
      <c r="E14" s="53">
        <v>1008.5</v>
      </c>
      <c r="F14" s="50">
        <v>81.198810707174005</v>
      </c>
      <c r="G14" s="85">
        <v>4.1941970696448472</v>
      </c>
      <c r="H14" s="61">
        <v>7.2</v>
      </c>
      <c r="I14" s="51">
        <v>7.3</v>
      </c>
      <c r="J14" s="51">
        <v>5.9</v>
      </c>
      <c r="K14" s="51">
        <v>11.7</v>
      </c>
      <c r="L14" s="51">
        <v>11.7</v>
      </c>
      <c r="M14" s="43">
        <f t="shared" si="0"/>
        <v>9.1499999999999986</v>
      </c>
      <c r="N14" s="51">
        <v>6.6</v>
      </c>
      <c r="O14" s="65">
        <v>4.9000000000000004</v>
      </c>
      <c r="P14" s="65">
        <v>4.0999999999999996</v>
      </c>
      <c r="Q14" s="51">
        <v>5.8</v>
      </c>
      <c r="R14" s="51">
        <v>7</v>
      </c>
      <c r="S14" s="51">
        <v>7.9</v>
      </c>
      <c r="T14" s="51">
        <v>19.100000000000001</v>
      </c>
      <c r="U14" s="72">
        <v>1</v>
      </c>
      <c r="V14" s="93"/>
      <c r="W14" s="51">
        <v>2.7</v>
      </c>
      <c r="X14" s="72">
        <v>8</v>
      </c>
      <c r="Y14" s="72">
        <v>7</v>
      </c>
      <c r="Z14" s="90" t="s">
        <v>87</v>
      </c>
      <c r="AA14" s="91">
        <v>14</v>
      </c>
      <c r="AB14" s="50">
        <v>9.8000000000000007</v>
      </c>
    </row>
    <row r="15" spans="1:28" ht="14.5">
      <c r="A15" s="394">
        <f t="shared" si="1"/>
        <v>44938</v>
      </c>
      <c r="B15" s="61">
        <v>69.5</v>
      </c>
      <c r="C15" s="66">
        <v>29.454000000000001</v>
      </c>
      <c r="D15" s="53">
        <v>997.43025599999999</v>
      </c>
      <c r="E15" s="53">
        <v>1002</v>
      </c>
      <c r="F15" s="50">
        <v>94.934352981476493</v>
      </c>
      <c r="G15" s="85">
        <v>10.219844750553561</v>
      </c>
      <c r="H15" s="61">
        <v>11</v>
      </c>
      <c r="I15" s="51">
        <v>11.1</v>
      </c>
      <c r="J15" s="51">
        <v>10.6</v>
      </c>
      <c r="K15" s="51">
        <v>12.1</v>
      </c>
      <c r="L15" s="51">
        <v>12.2</v>
      </c>
      <c r="M15" s="43">
        <f t="shared" si="0"/>
        <v>9.35</v>
      </c>
      <c r="N15" s="51">
        <v>6.6</v>
      </c>
      <c r="O15" s="51">
        <v>5.6</v>
      </c>
      <c r="P15" s="51">
        <v>5.5</v>
      </c>
      <c r="Q15" s="51">
        <v>8.5</v>
      </c>
      <c r="R15" s="51">
        <v>7.2</v>
      </c>
      <c r="S15" s="51">
        <v>7.9</v>
      </c>
      <c r="T15" s="51">
        <v>3.5</v>
      </c>
      <c r="U15" s="72">
        <v>1</v>
      </c>
      <c r="V15" s="51"/>
      <c r="W15" s="51">
        <v>1.1000000000000001</v>
      </c>
      <c r="X15" s="72">
        <v>5</v>
      </c>
      <c r="Y15" s="72">
        <v>8</v>
      </c>
      <c r="Z15" s="90" t="s">
        <v>88</v>
      </c>
      <c r="AA15" s="91">
        <v>20</v>
      </c>
      <c r="AB15" s="50">
        <v>14</v>
      </c>
    </row>
    <row r="16" spans="1:28" ht="14.5">
      <c r="A16" s="394">
        <f t="shared" si="1"/>
        <v>44939</v>
      </c>
      <c r="B16" s="61">
        <v>69.099999999999994</v>
      </c>
      <c r="C16" s="66">
        <v>29.571999999999999</v>
      </c>
      <c r="D16" s="53">
        <v>1001.4262079999999</v>
      </c>
      <c r="E16" s="53">
        <v>1005.9</v>
      </c>
      <c r="F16" s="50">
        <v>70.443092282458949</v>
      </c>
      <c r="G16" s="85">
        <v>2.568608279220618</v>
      </c>
      <c r="H16" s="61">
        <v>7.6</v>
      </c>
      <c r="I16" s="51">
        <v>7.6</v>
      </c>
      <c r="J16" s="51">
        <v>5.5</v>
      </c>
      <c r="K16" s="51">
        <v>12.1</v>
      </c>
      <c r="L16" s="51">
        <v>12.3</v>
      </c>
      <c r="M16" s="43">
        <f t="shared" si="0"/>
        <v>9.15</v>
      </c>
      <c r="N16" s="51">
        <v>6.2</v>
      </c>
      <c r="O16" s="51">
        <v>3.6</v>
      </c>
      <c r="P16" s="51">
        <v>4.4000000000000004</v>
      </c>
      <c r="Q16" s="51">
        <v>5.6</v>
      </c>
      <c r="R16" s="51">
        <v>7.2</v>
      </c>
      <c r="S16" s="51">
        <v>7.9</v>
      </c>
      <c r="T16" s="51">
        <v>10.5</v>
      </c>
      <c r="U16" s="72">
        <v>1</v>
      </c>
      <c r="V16" s="89"/>
      <c r="W16" s="51">
        <v>4.4000000000000004</v>
      </c>
      <c r="X16" s="72">
        <v>8</v>
      </c>
      <c r="Y16" s="72">
        <v>2</v>
      </c>
      <c r="Z16" s="90" t="s">
        <v>89</v>
      </c>
      <c r="AA16" s="91">
        <v>22</v>
      </c>
      <c r="AB16" s="50">
        <v>15.4</v>
      </c>
    </row>
    <row r="17" spans="1:28" ht="14.5">
      <c r="A17" s="394">
        <f t="shared" si="1"/>
        <v>44940</v>
      </c>
      <c r="B17" s="61">
        <v>68.099999999999994</v>
      </c>
      <c r="C17" s="66">
        <v>29.128</v>
      </c>
      <c r="D17" s="53">
        <v>986.39059199999997</v>
      </c>
      <c r="E17" s="53">
        <v>993.5</v>
      </c>
      <c r="F17" s="50">
        <v>91.483379039931592</v>
      </c>
      <c r="G17" s="85">
        <v>10.656586797889606</v>
      </c>
      <c r="H17" s="61">
        <v>12</v>
      </c>
      <c r="I17" s="51">
        <v>12.1</v>
      </c>
      <c r="J17" s="51">
        <v>11.3</v>
      </c>
      <c r="K17" s="51">
        <v>12.3</v>
      </c>
      <c r="L17" s="51">
        <v>12.3</v>
      </c>
      <c r="M17" s="43">
        <f t="shared" si="0"/>
        <v>9</v>
      </c>
      <c r="N17" s="51">
        <v>5.7</v>
      </c>
      <c r="O17" s="51">
        <v>1.2</v>
      </c>
      <c r="P17" s="51">
        <v>2.6</v>
      </c>
      <c r="Q17" s="51">
        <v>7.2</v>
      </c>
      <c r="R17" s="51">
        <v>6.6</v>
      </c>
      <c r="S17" s="51">
        <v>8</v>
      </c>
      <c r="T17" s="51">
        <v>1.3</v>
      </c>
      <c r="U17" s="72">
        <v>1</v>
      </c>
      <c r="V17" s="89"/>
      <c r="W17" s="51">
        <v>0.4</v>
      </c>
      <c r="X17" s="72">
        <v>6</v>
      </c>
      <c r="Y17" s="72">
        <v>8</v>
      </c>
      <c r="Z17" s="90" t="s">
        <v>90</v>
      </c>
      <c r="AA17" s="91">
        <v>26</v>
      </c>
      <c r="AB17" s="50">
        <v>18.2</v>
      </c>
    </row>
    <row r="18" spans="1:28" ht="14.5">
      <c r="A18" s="394">
        <f t="shared" si="1"/>
        <v>44941</v>
      </c>
      <c r="B18" s="74">
        <v>66.2</v>
      </c>
      <c r="C18" s="68">
        <v>29.274000000000001</v>
      </c>
      <c r="D18" s="53">
        <v>991.33473599999991</v>
      </c>
      <c r="E18" s="53">
        <v>997.9</v>
      </c>
      <c r="F18" s="50">
        <v>83.789820504051264</v>
      </c>
      <c r="G18" s="85">
        <v>2.0954032521566126</v>
      </c>
      <c r="H18" s="74">
        <v>4.5999999999999996</v>
      </c>
      <c r="I18" s="55">
        <v>4.7</v>
      </c>
      <c r="J18" s="55">
        <v>3.6</v>
      </c>
      <c r="K18" s="55">
        <v>7.9</v>
      </c>
      <c r="L18" s="55">
        <v>8.3000000000000007</v>
      </c>
      <c r="M18" s="43">
        <f t="shared" si="0"/>
        <v>5.65</v>
      </c>
      <c r="N18" s="55">
        <v>3.4</v>
      </c>
      <c r="O18" s="55">
        <v>1.6</v>
      </c>
      <c r="P18" s="55">
        <v>1.3</v>
      </c>
      <c r="Q18" s="55">
        <v>3.9</v>
      </c>
      <c r="R18" s="55">
        <v>6.5</v>
      </c>
      <c r="S18" s="55">
        <v>7.9</v>
      </c>
      <c r="T18" s="55" t="s">
        <v>91</v>
      </c>
      <c r="U18" s="75">
        <v>1</v>
      </c>
      <c r="V18" s="94"/>
      <c r="W18" s="55">
        <v>6.17</v>
      </c>
      <c r="X18" s="75">
        <v>7</v>
      </c>
      <c r="Y18" s="75">
        <v>7</v>
      </c>
      <c r="Z18" s="95" t="s">
        <v>82</v>
      </c>
      <c r="AA18" s="76">
        <v>18</v>
      </c>
      <c r="AB18" s="50">
        <v>12.600000000000001</v>
      </c>
    </row>
    <row r="19" spans="1:28" ht="14.5">
      <c r="A19" s="394">
        <f t="shared" si="1"/>
        <v>44942</v>
      </c>
      <c r="B19" s="61">
        <v>68</v>
      </c>
      <c r="C19" s="66">
        <v>28.925999999999998</v>
      </c>
      <c r="D19" s="53">
        <v>979.55006399999991</v>
      </c>
      <c r="E19" s="53">
        <v>985.5</v>
      </c>
      <c r="F19" s="50">
        <v>83.050877649764715</v>
      </c>
      <c r="G19" s="85">
        <v>0.99232412150869664</v>
      </c>
      <c r="H19" s="61">
        <v>3.6</v>
      </c>
      <c r="I19" s="51">
        <v>3.7</v>
      </c>
      <c r="J19" s="51">
        <v>2.6</v>
      </c>
      <c r="K19" s="55">
        <v>4.5999999999999996</v>
      </c>
      <c r="L19" s="55">
        <v>4.7</v>
      </c>
      <c r="M19" s="43">
        <f t="shared" si="0"/>
        <v>3.5</v>
      </c>
      <c r="N19" s="51">
        <v>2.4</v>
      </c>
      <c r="O19" s="51">
        <v>1</v>
      </c>
      <c r="P19" s="51">
        <v>1.2</v>
      </c>
      <c r="Q19" s="51">
        <v>4.5</v>
      </c>
      <c r="R19" s="51">
        <v>6.9</v>
      </c>
      <c r="S19" s="51">
        <v>7.9</v>
      </c>
      <c r="T19" s="55">
        <v>0</v>
      </c>
      <c r="U19" s="72">
        <v>0</v>
      </c>
      <c r="V19" s="89"/>
      <c r="W19" s="55">
        <v>3.2</v>
      </c>
      <c r="X19" s="72">
        <v>8</v>
      </c>
      <c r="Y19" s="72">
        <v>8</v>
      </c>
      <c r="Z19" s="90" t="s">
        <v>87</v>
      </c>
      <c r="AA19" s="51">
        <v>17</v>
      </c>
      <c r="AB19" s="50">
        <v>11.9</v>
      </c>
    </row>
    <row r="20" spans="1:28" ht="14.5">
      <c r="A20" s="394">
        <f t="shared" si="1"/>
        <v>44943</v>
      </c>
      <c r="B20" s="74">
        <v>66.599999999999994</v>
      </c>
      <c r="C20" s="68">
        <v>29.04</v>
      </c>
      <c r="D20" s="53">
        <v>983.41055999999992</v>
      </c>
      <c r="E20" s="53">
        <v>988.7</v>
      </c>
      <c r="F20" s="50">
        <v>97.535103757844539</v>
      </c>
      <c r="G20" s="85">
        <v>-4.0330934277428092</v>
      </c>
      <c r="H20" s="74">
        <v>-3.7</v>
      </c>
      <c r="I20" s="55">
        <v>-3.9</v>
      </c>
      <c r="J20" s="76">
        <v>-3.8</v>
      </c>
      <c r="K20" s="51">
        <v>2.8</v>
      </c>
      <c r="L20" s="51">
        <v>2.9</v>
      </c>
      <c r="M20" s="43">
        <f t="shared" si="0"/>
        <v>-0.85000000000000009</v>
      </c>
      <c r="N20" s="74">
        <v>-4.5</v>
      </c>
      <c r="O20" s="55">
        <v>-7.2</v>
      </c>
      <c r="P20" s="55">
        <v>-5.6</v>
      </c>
      <c r="Q20" s="55">
        <v>2.6</v>
      </c>
      <c r="R20" s="55">
        <v>4.7</v>
      </c>
      <c r="S20" s="76">
        <v>7.8</v>
      </c>
      <c r="T20" s="51">
        <v>0</v>
      </c>
      <c r="U20" s="77">
        <v>4</v>
      </c>
      <c r="V20" s="89"/>
      <c r="W20" s="51">
        <v>4</v>
      </c>
      <c r="X20" s="105">
        <v>8</v>
      </c>
      <c r="Y20" s="75">
        <v>4</v>
      </c>
      <c r="Z20" s="95" t="s">
        <v>82</v>
      </c>
      <c r="AA20" s="76">
        <v>0</v>
      </c>
      <c r="AB20" s="50">
        <v>0</v>
      </c>
    </row>
    <row r="21" spans="1:28" ht="14.5">
      <c r="A21" s="394">
        <f t="shared" si="1"/>
        <v>44944</v>
      </c>
      <c r="B21" s="61" t="s">
        <v>92</v>
      </c>
      <c r="C21" s="66">
        <v>29.263999999999999</v>
      </c>
      <c r="D21" s="53">
        <v>990.99609599999985</v>
      </c>
      <c r="E21" s="53">
        <v>996.2</v>
      </c>
      <c r="F21" s="50">
        <v>95.878947779848417</v>
      </c>
      <c r="G21" s="85">
        <v>-0.87713077114844928</v>
      </c>
      <c r="H21" s="74">
        <v>-0.3</v>
      </c>
      <c r="I21" s="55">
        <v>-0.1</v>
      </c>
      <c r="J21" s="55">
        <v>-0.5</v>
      </c>
      <c r="K21" s="78">
        <v>5.2</v>
      </c>
      <c r="L21" s="78">
        <v>5.3</v>
      </c>
      <c r="M21" s="43">
        <f t="shared" si="0"/>
        <v>0.75</v>
      </c>
      <c r="N21" s="55">
        <v>-3.7</v>
      </c>
      <c r="O21" s="55">
        <v>-5</v>
      </c>
      <c r="P21" s="55">
        <v>-4.0999999999999996</v>
      </c>
      <c r="Q21" s="55">
        <v>1</v>
      </c>
      <c r="R21" s="55">
        <v>3.6</v>
      </c>
      <c r="S21" s="76">
        <v>7.6</v>
      </c>
      <c r="T21" s="51">
        <v>0</v>
      </c>
      <c r="U21" s="79">
        <v>4</v>
      </c>
      <c r="V21" s="96"/>
      <c r="W21" s="51">
        <v>6.8</v>
      </c>
      <c r="X21" s="75">
        <v>8</v>
      </c>
      <c r="Y21" s="75">
        <v>0</v>
      </c>
      <c r="Z21" s="95" t="s">
        <v>82</v>
      </c>
      <c r="AA21" s="55">
        <v>6</v>
      </c>
      <c r="AB21" s="97">
        <v>4.2</v>
      </c>
    </row>
    <row r="22" spans="1:28" ht="14.5">
      <c r="A22" s="394">
        <f t="shared" si="1"/>
        <v>44945</v>
      </c>
      <c r="B22" s="74">
        <v>68.3</v>
      </c>
      <c r="C22" s="68">
        <v>29.582000000000001</v>
      </c>
      <c r="D22" s="53">
        <v>1001.7648479999999</v>
      </c>
      <c r="E22" s="53">
        <v>1006.4</v>
      </c>
      <c r="F22" s="50">
        <v>91.898811944576849</v>
      </c>
      <c r="G22" s="86">
        <v>-1.1586588364273529</v>
      </c>
      <c r="H22" s="61">
        <v>0</v>
      </c>
      <c r="I22" s="51">
        <v>-0.3</v>
      </c>
      <c r="J22" s="51">
        <v>-0.4</v>
      </c>
      <c r="K22" s="53">
        <v>5.2</v>
      </c>
      <c r="L22" s="60">
        <v>5.2</v>
      </c>
      <c r="M22" s="43">
        <f t="shared" si="0"/>
        <v>2.25</v>
      </c>
      <c r="N22" s="65">
        <v>-0.7</v>
      </c>
      <c r="O22" s="51">
        <v>-4</v>
      </c>
      <c r="P22" s="51">
        <v>-2</v>
      </c>
      <c r="Q22" s="51">
        <v>0.8</v>
      </c>
      <c r="R22" s="51">
        <v>3</v>
      </c>
      <c r="S22" s="51">
        <v>7.4</v>
      </c>
      <c r="T22" s="80">
        <v>0</v>
      </c>
      <c r="U22" s="72">
        <v>4</v>
      </c>
      <c r="V22" s="89"/>
      <c r="W22" s="51">
        <v>6.2</v>
      </c>
      <c r="X22" s="72">
        <v>8</v>
      </c>
      <c r="Y22" s="72">
        <v>2</v>
      </c>
      <c r="Z22" s="90" t="s">
        <v>82</v>
      </c>
      <c r="AA22" s="51">
        <v>6</v>
      </c>
      <c r="AB22" s="50">
        <v>4.2</v>
      </c>
    </row>
    <row r="23" spans="1:28" ht="14.5">
      <c r="A23" s="394">
        <f t="shared" si="1"/>
        <v>44946</v>
      </c>
      <c r="B23" s="379">
        <v>68.099999999999994</v>
      </c>
      <c r="C23" s="69">
        <v>29.937999999999999</v>
      </c>
      <c r="D23" s="53">
        <v>1013.8204319999999</v>
      </c>
      <c r="E23" s="53">
        <v>1017.5</v>
      </c>
      <c r="F23" s="50">
        <v>84.793723071020807</v>
      </c>
      <c r="G23" s="87">
        <v>-1.0741867449338178</v>
      </c>
      <c r="H23" s="73">
        <v>1.2</v>
      </c>
      <c r="I23" s="60">
        <v>1.1000000000000001</v>
      </c>
      <c r="J23" s="60">
        <v>0.4</v>
      </c>
      <c r="K23" s="51">
        <v>6</v>
      </c>
      <c r="L23" s="51">
        <v>6.1</v>
      </c>
      <c r="M23" s="43">
        <f t="shared" si="0"/>
        <v>3</v>
      </c>
      <c r="N23" s="60">
        <v>0</v>
      </c>
      <c r="O23" s="60">
        <v>-4</v>
      </c>
      <c r="P23" s="60">
        <v>-3.1</v>
      </c>
      <c r="Q23" s="53">
        <v>1</v>
      </c>
      <c r="R23" s="60">
        <v>2.8</v>
      </c>
      <c r="S23" s="53">
        <v>7.1</v>
      </c>
      <c r="T23" s="51">
        <v>0</v>
      </c>
      <c r="U23" s="81">
        <v>4</v>
      </c>
      <c r="V23" s="93"/>
      <c r="W23" s="51">
        <v>6.2</v>
      </c>
      <c r="X23" s="60">
        <v>8</v>
      </c>
      <c r="Y23" s="60">
        <v>2</v>
      </c>
      <c r="Z23" s="98" t="s">
        <v>82</v>
      </c>
      <c r="AA23" s="53">
        <v>8</v>
      </c>
      <c r="AB23" s="99">
        <v>5.6</v>
      </c>
    </row>
    <row r="24" spans="1:28" ht="14.5">
      <c r="A24" s="394">
        <f t="shared" si="1"/>
        <v>44947</v>
      </c>
      <c r="B24" s="82">
        <v>69.2</v>
      </c>
      <c r="C24" s="70">
        <v>30.276</v>
      </c>
      <c r="D24" s="53">
        <v>1025.2664639999998</v>
      </c>
      <c r="E24" s="51">
        <v>1032.7</v>
      </c>
      <c r="F24" s="59">
        <v>97.761250633415514</v>
      </c>
      <c r="G24" s="50">
        <v>-2.2067745788036355</v>
      </c>
      <c r="H24" s="82">
        <v>-1.9</v>
      </c>
      <c r="I24" s="58">
        <v>-2</v>
      </c>
      <c r="J24" s="58">
        <v>-2</v>
      </c>
      <c r="K24" s="51">
        <v>-0.5</v>
      </c>
      <c r="L24" s="58">
        <v>-0.4</v>
      </c>
      <c r="M24" s="43">
        <f t="shared" si="0"/>
        <v>-1.4</v>
      </c>
      <c r="N24" s="58">
        <v>-2.2999999999999998</v>
      </c>
      <c r="O24" s="58">
        <v>-4.5999999999999996</v>
      </c>
      <c r="P24" s="58">
        <v>-4.8</v>
      </c>
      <c r="Q24" s="83">
        <v>0.6</v>
      </c>
      <c r="R24" s="58">
        <v>2.5</v>
      </c>
      <c r="S24" s="58">
        <v>6.8</v>
      </c>
      <c r="T24" s="58" t="s">
        <v>93</v>
      </c>
      <c r="U24" s="84">
        <v>4</v>
      </c>
      <c r="V24" s="101"/>
      <c r="W24" s="83">
        <v>0</v>
      </c>
      <c r="X24" s="102">
        <v>0</v>
      </c>
      <c r="Y24" s="102">
        <v>9</v>
      </c>
      <c r="Z24" s="103" t="s">
        <v>94</v>
      </c>
      <c r="AA24" s="100">
        <v>0</v>
      </c>
      <c r="AB24" s="104">
        <v>0</v>
      </c>
    </row>
    <row r="25" spans="1:28" ht="14.5">
      <c r="A25" s="394">
        <f t="shared" si="1"/>
        <v>44948</v>
      </c>
      <c r="B25" s="61">
        <v>66.8</v>
      </c>
      <c r="C25" s="66">
        <v>30.338000000000001</v>
      </c>
      <c r="D25" s="53">
        <v>1027.3660319999999</v>
      </c>
      <c r="E25" s="53">
        <v>1035.2</v>
      </c>
      <c r="F25" s="50">
        <v>97.409271763185473</v>
      </c>
      <c r="G25" s="88">
        <v>-4.9476750540216052</v>
      </c>
      <c r="H25" s="61">
        <v>-4.5999999999999996</v>
      </c>
      <c r="I25" s="51">
        <v>-4.5</v>
      </c>
      <c r="J25" s="51">
        <v>-4.7</v>
      </c>
      <c r="K25" s="52">
        <v>2.9</v>
      </c>
      <c r="L25" s="51">
        <v>2.9</v>
      </c>
      <c r="M25" s="43">
        <f t="shared" si="0"/>
        <v>-1.6500000000000001</v>
      </c>
      <c r="N25" s="51">
        <v>-6.2</v>
      </c>
      <c r="O25" s="51">
        <v>-8.6</v>
      </c>
      <c r="P25" s="65">
        <v>-5.5</v>
      </c>
      <c r="Q25" s="51">
        <v>0.5</v>
      </c>
      <c r="R25" s="51">
        <v>2.2999999999999998</v>
      </c>
      <c r="S25" s="51">
        <v>6.5</v>
      </c>
      <c r="T25" s="51" t="s">
        <v>93</v>
      </c>
      <c r="U25" s="81">
        <v>4</v>
      </c>
      <c r="V25" s="72"/>
      <c r="W25" s="53">
        <v>0</v>
      </c>
      <c r="X25" s="81">
        <v>6</v>
      </c>
      <c r="Y25" s="81">
        <v>7</v>
      </c>
      <c r="Z25" s="90" t="s">
        <v>82</v>
      </c>
      <c r="AA25" s="91">
        <v>0</v>
      </c>
      <c r="AB25" s="50">
        <v>0</v>
      </c>
    </row>
    <row r="26" spans="1:28" ht="14.5">
      <c r="A26" s="394">
        <f t="shared" si="1"/>
        <v>44949</v>
      </c>
      <c r="B26" s="61">
        <v>66.8</v>
      </c>
      <c r="C26" s="66">
        <v>30.481999999999999</v>
      </c>
      <c r="D26" s="53">
        <v>1032.242448</v>
      </c>
      <c r="E26" s="53">
        <v>1036.9000000000001</v>
      </c>
      <c r="F26" s="50">
        <v>97.795919953648351</v>
      </c>
      <c r="G26" s="85">
        <v>-1.9027264641733956</v>
      </c>
      <c r="H26" s="61">
        <v>-1.6</v>
      </c>
      <c r="I26" s="51">
        <v>-1.6</v>
      </c>
      <c r="J26" s="51">
        <v>-1.7</v>
      </c>
      <c r="K26" s="51">
        <v>4.5</v>
      </c>
      <c r="L26" s="51">
        <v>4.5999999999999996</v>
      </c>
      <c r="M26" s="43">
        <f t="shared" si="0"/>
        <v>-4.9999999999999822E-2</v>
      </c>
      <c r="N26" s="51">
        <v>-4.5999999999999996</v>
      </c>
      <c r="O26" s="51">
        <v>-5.2</v>
      </c>
      <c r="P26" s="51">
        <v>-4.2</v>
      </c>
      <c r="Q26" s="51">
        <v>0.3</v>
      </c>
      <c r="R26" s="51">
        <v>2.2999999999999998</v>
      </c>
      <c r="S26" s="51">
        <v>6.4</v>
      </c>
      <c r="T26" s="53">
        <v>0</v>
      </c>
      <c r="U26" s="81">
        <v>4</v>
      </c>
      <c r="V26" s="72"/>
      <c r="W26" s="51">
        <v>1.5</v>
      </c>
      <c r="X26" s="72">
        <v>8</v>
      </c>
      <c r="Y26" s="72">
        <v>3</v>
      </c>
      <c r="Z26" s="90" t="s">
        <v>82</v>
      </c>
      <c r="AA26" s="91">
        <v>0</v>
      </c>
      <c r="AB26" s="50">
        <v>0</v>
      </c>
    </row>
    <row r="27" spans="1:28" ht="14.5">
      <c r="A27" s="394">
        <f t="shared" si="1"/>
        <v>44950</v>
      </c>
      <c r="B27" s="61">
        <v>65.7</v>
      </c>
      <c r="C27" s="66">
        <v>30.552</v>
      </c>
      <c r="D27" s="53">
        <v>1034.612928</v>
      </c>
      <c r="E27" s="53">
        <v>1039.8</v>
      </c>
      <c r="F27" s="50">
        <v>97.614096939190418</v>
      </c>
      <c r="G27" s="85">
        <v>-3.4239170559730003</v>
      </c>
      <c r="H27" s="61">
        <v>-3.1</v>
      </c>
      <c r="I27" s="51">
        <v>-3</v>
      </c>
      <c r="J27" s="51">
        <v>-3.2</v>
      </c>
      <c r="K27" s="51">
        <v>5</v>
      </c>
      <c r="L27" s="51">
        <v>4.9000000000000004</v>
      </c>
      <c r="M27" s="43">
        <f t="shared" si="0"/>
        <v>0.14999999999999991</v>
      </c>
      <c r="N27" s="51">
        <v>-4.7</v>
      </c>
      <c r="O27" s="51">
        <v>-7.9</v>
      </c>
      <c r="P27" s="51">
        <v>-5.6</v>
      </c>
      <c r="Q27" s="51">
        <v>0</v>
      </c>
      <c r="R27" s="51">
        <v>2</v>
      </c>
      <c r="S27" s="51">
        <v>6.1</v>
      </c>
      <c r="T27" s="53">
        <v>0</v>
      </c>
      <c r="U27" s="81">
        <v>4</v>
      </c>
      <c r="V27" s="72"/>
      <c r="W27" s="51">
        <v>8</v>
      </c>
      <c r="X27" s="72">
        <v>7</v>
      </c>
      <c r="Y27" s="72">
        <v>1</v>
      </c>
      <c r="Z27" s="90" t="s">
        <v>82</v>
      </c>
      <c r="AA27" s="91">
        <v>0</v>
      </c>
      <c r="AB27" s="50">
        <v>0</v>
      </c>
    </row>
    <row r="28" spans="1:28" ht="14.5">
      <c r="A28" s="394">
        <f t="shared" si="1"/>
        <v>44951</v>
      </c>
      <c r="B28" s="61">
        <v>66</v>
      </c>
      <c r="C28" s="66">
        <v>30.402000000000001</v>
      </c>
      <c r="D28" s="53">
        <v>1029.533328</v>
      </c>
      <c r="E28" s="53">
        <v>1034.0999999999999</v>
      </c>
      <c r="F28" s="50">
        <v>100</v>
      </c>
      <c r="G28" s="85">
        <v>0</v>
      </c>
      <c r="H28" s="61">
        <v>0</v>
      </c>
      <c r="I28" s="51">
        <v>0</v>
      </c>
      <c r="J28" s="51">
        <v>0</v>
      </c>
      <c r="K28" s="51">
        <v>5.9</v>
      </c>
      <c r="L28" s="51">
        <v>5.9</v>
      </c>
      <c r="M28" s="43">
        <f t="shared" si="0"/>
        <v>1.4000000000000001</v>
      </c>
      <c r="N28" s="51">
        <v>-3.1</v>
      </c>
      <c r="O28" s="51">
        <v>-4.5999999999999996</v>
      </c>
      <c r="P28" s="51">
        <v>-5.0999999999999996</v>
      </c>
      <c r="Q28" s="51">
        <v>0</v>
      </c>
      <c r="R28" s="51">
        <v>1.9</v>
      </c>
      <c r="S28" s="51">
        <v>5.9</v>
      </c>
      <c r="T28" s="51">
        <v>0.6</v>
      </c>
      <c r="U28" s="81">
        <v>4</v>
      </c>
      <c r="V28" s="72"/>
      <c r="W28" s="53">
        <v>1</v>
      </c>
      <c r="X28" s="72">
        <v>6</v>
      </c>
      <c r="Y28" s="72">
        <v>8</v>
      </c>
      <c r="Z28" s="90" t="s">
        <v>82</v>
      </c>
      <c r="AA28" s="91">
        <v>7</v>
      </c>
      <c r="AB28" s="50">
        <v>4.9000000000000004</v>
      </c>
    </row>
    <row r="29" spans="1:28" ht="14.5">
      <c r="A29" s="394">
        <f t="shared" si="1"/>
        <v>44952</v>
      </c>
      <c r="B29" s="61">
        <v>66.8</v>
      </c>
      <c r="C29" s="66">
        <v>30.300999999999998</v>
      </c>
      <c r="D29" s="53">
        <v>1026.1130639999999</v>
      </c>
      <c r="E29" s="53">
        <v>1030</v>
      </c>
      <c r="F29" s="50">
        <v>88.144378037059766</v>
      </c>
      <c r="G29" s="85">
        <v>1.9206436083934368</v>
      </c>
      <c r="H29" s="61">
        <v>3.7</v>
      </c>
      <c r="I29" s="51">
        <v>3.7</v>
      </c>
      <c r="J29" s="51">
        <v>3</v>
      </c>
      <c r="K29" s="51">
        <v>7.3</v>
      </c>
      <c r="L29" s="51">
        <v>7.4</v>
      </c>
      <c r="M29" s="43">
        <f t="shared" si="0"/>
        <v>3.65</v>
      </c>
      <c r="N29" s="51">
        <v>0</v>
      </c>
      <c r="O29" s="51">
        <v>-2.2000000000000002</v>
      </c>
      <c r="P29" s="51">
        <v>-1.8</v>
      </c>
      <c r="Q29" s="51">
        <v>0</v>
      </c>
      <c r="R29" s="51">
        <v>1.9</v>
      </c>
      <c r="S29" s="51">
        <v>5.7</v>
      </c>
      <c r="T29" s="51">
        <v>0.2</v>
      </c>
      <c r="U29" s="81">
        <v>1</v>
      </c>
      <c r="V29" s="72"/>
      <c r="W29" s="53">
        <v>3.75</v>
      </c>
      <c r="X29" s="72">
        <v>8</v>
      </c>
      <c r="Y29" s="72">
        <v>6</v>
      </c>
      <c r="Z29" s="90" t="s">
        <v>87</v>
      </c>
      <c r="AA29" s="91">
        <v>12</v>
      </c>
      <c r="AB29" s="50">
        <v>8.4</v>
      </c>
    </row>
    <row r="30" spans="1:28" ht="14.5">
      <c r="A30" s="394">
        <f t="shared" si="1"/>
        <v>44953</v>
      </c>
      <c r="B30" s="61">
        <v>67.2</v>
      </c>
      <c r="C30" s="66">
        <v>30.300999999999998</v>
      </c>
      <c r="D30" s="53">
        <v>1026.1130639999999</v>
      </c>
      <c r="E30" s="53">
        <v>1031.0999999999999</v>
      </c>
      <c r="F30" s="50">
        <v>100</v>
      </c>
      <c r="G30" s="85">
        <v>4.1999999999999993</v>
      </c>
      <c r="H30" s="61">
        <v>4.2</v>
      </c>
      <c r="I30" s="51">
        <v>4.0999999999999996</v>
      </c>
      <c r="J30" s="51">
        <v>4.2</v>
      </c>
      <c r="K30" s="51">
        <v>6.3</v>
      </c>
      <c r="L30" s="51">
        <v>6.4</v>
      </c>
      <c r="M30" s="43">
        <f t="shared" si="0"/>
        <v>3.95</v>
      </c>
      <c r="N30" s="51">
        <v>1.6</v>
      </c>
      <c r="O30" s="51">
        <v>-1.9</v>
      </c>
      <c r="P30" s="51">
        <v>-1.1000000000000001</v>
      </c>
      <c r="Q30" s="51">
        <v>0.1</v>
      </c>
      <c r="R30" s="51">
        <v>1.7</v>
      </c>
      <c r="S30" s="51">
        <v>5.5</v>
      </c>
      <c r="T30" s="51" t="s">
        <v>93</v>
      </c>
      <c r="U30" s="81">
        <v>1</v>
      </c>
      <c r="V30" s="72"/>
      <c r="W30" s="53">
        <v>0.2</v>
      </c>
      <c r="X30" s="72">
        <v>8</v>
      </c>
      <c r="Y30" s="72">
        <v>7</v>
      </c>
      <c r="Z30" s="90" t="s">
        <v>82</v>
      </c>
      <c r="AA30" s="91">
        <v>7</v>
      </c>
      <c r="AB30" s="50">
        <v>4.9000000000000004</v>
      </c>
    </row>
    <row r="31" spans="1:28" ht="14.5">
      <c r="A31" s="394">
        <f t="shared" si="1"/>
        <v>44954</v>
      </c>
      <c r="B31" s="61">
        <v>67</v>
      </c>
      <c r="C31" s="66">
        <v>30.268000000000001</v>
      </c>
      <c r="D31" s="53">
        <v>1024.9955519999999</v>
      </c>
      <c r="E31" s="53">
        <v>1032.8</v>
      </c>
      <c r="F31" s="50">
        <v>80.949978138990957</v>
      </c>
      <c r="G31" s="85">
        <v>0.14878402449516936</v>
      </c>
      <c r="H31" s="61">
        <v>3.1</v>
      </c>
      <c r="I31" s="51">
        <v>3.2</v>
      </c>
      <c r="J31" s="51">
        <v>2</v>
      </c>
      <c r="K31" s="51">
        <v>5.3</v>
      </c>
      <c r="L31" s="51">
        <v>5.7</v>
      </c>
      <c r="M31" s="43">
        <f t="shared" si="0"/>
        <v>4</v>
      </c>
      <c r="N31" s="51">
        <v>2.7</v>
      </c>
      <c r="O31" s="51">
        <v>-1.1000000000000001</v>
      </c>
      <c r="P31" s="51">
        <v>0.7</v>
      </c>
      <c r="Q31" s="51">
        <v>0.8</v>
      </c>
      <c r="R31" s="51">
        <v>1.6</v>
      </c>
      <c r="S31" s="51">
        <v>5.5</v>
      </c>
      <c r="T31" s="51" t="s">
        <v>93</v>
      </c>
      <c r="U31" s="81">
        <v>1</v>
      </c>
      <c r="V31" s="72"/>
      <c r="W31" s="53">
        <v>0</v>
      </c>
      <c r="X31" s="72">
        <v>8</v>
      </c>
      <c r="Y31" s="72">
        <v>8</v>
      </c>
      <c r="Z31" s="90" t="s">
        <v>82</v>
      </c>
      <c r="AA31" s="91">
        <v>6</v>
      </c>
      <c r="AB31" s="50">
        <v>4.2</v>
      </c>
    </row>
    <row r="32" spans="1:28" ht="14.5">
      <c r="A32" s="394">
        <f t="shared" si="1"/>
        <v>44955</v>
      </c>
      <c r="B32" s="61">
        <v>65.2</v>
      </c>
      <c r="C32" s="66">
        <v>30.103999999999999</v>
      </c>
      <c r="D32" s="53">
        <v>1019.4418559999999</v>
      </c>
      <c r="E32" s="53">
        <v>1027.3</v>
      </c>
      <c r="F32" s="50">
        <v>96.82170510977619</v>
      </c>
      <c r="G32" s="85">
        <v>4.8361860393599407</v>
      </c>
      <c r="H32" s="61">
        <v>5.3</v>
      </c>
      <c r="I32" s="51">
        <v>5.4</v>
      </c>
      <c r="J32" s="51">
        <v>5.0999999999999996</v>
      </c>
      <c r="K32" s="51">
        <v>9.6</v>
      </c>
      <c r="L32" s="51">
        <v>9.4</v>
      </c>
      <c r="M32" s="43">
        <f t="shared" si="0"/>
        <v>6.35</v>
      </c>
      <c r="N32" s="51">
        <v>3.1</v>
      </c>
      <c r="O32" s="51">
        <v>1.6</v>
      </c>
      <c r="P32" s="51">
        <v>1.5</v>
      </c>
      <c r="Q32" s="51">
        <v>2.8</v>
      </c>
      <c r="R32" s="51">
        <v>2</v>
      </c>
      <c r="S32" s="51">
        <v>5.3</v>
      </c>
      <c r="T32" s="51">
        <v>0.15</v>
      </c>
      <c r="U32" s="81">
        <v>1</v>
      </c>
      <c r="V32" s="72"/>
      <c r="W32" s="53">
        <v>1.2</v>
      </c>
      <c r="X32" s="72">
        <v>6</v>
      </c>
      <c r="Y32" s="72">
        <v>8</v>
      </c>
      <c r="Z32" s="90" t="s">
        <v>82</v>
      </c>
      <c r="AA32" s="91">
        <v>14</v>
      </c>
      <c r="AB32" s="50">
        <v>9.8000000000000007</v>
      </c>
    </row>
    <row r="33" spans="1:28" ht="14.5">
      <c r="A33" s="394">
        <f t="shared" si="1"/>
        <v>44956</v>
      </c>
      <c r="B33" s="61">
        <v>65.3</v>
      </c>
      <c r="C33" s="66">
        <v>30.13</v>
      </c>
      <c r="D33" s="53">
        <v>1020.3223199999999</v>
      </c>
      <c r="E33" s="53">
        <v>1025.0999999999999</v>
      </c>
      <c r="F33" s="50">
        <v>84.139501522756873</v>
      </c>
      <c r="G33" s="85">
        <v>2.6439785512910179</v>
      </c>
      <c r="H33" s="61">
        <v>5.0999999999999996</v>
      </c>
      <c r="I33" s="51">
        <v>5.0999999999999996</v>
      </c>
      <c r="J33" s="51">
        <v>4.0999999999999996</v>
      </c>
      <c r="K33" s="51">
        <v>9.4</v>
      </c>
      <c r="L33" s="51">
        <v>9.5</v>
      </c>
      <c r="M33" s="43">
        <f t="shared" si="0"/>
        <v>6.85</v>
      </c>
      <c r="N33" s="51">
        <v>4.3</v>
      </c>
      <c r="O33" s="51">
        <v>1.6</v>
      </c>
      <c r="P33" s="51">
        <v>1.3</v>
      </c>
      <c r="Q33" s="51">
        <v>4.2</v>
      </c>
      <c r="R33" s="51">
        <v>3.3</v>
      </c>
      <c r="S33" s="51">
        <v>5.2</v>
      </c>
      <c r="T33" s="51" t="s">
        <v>93</v>
      </c>
      <c r="U33" s="81">
        <v>1</v>
      </c>
      <c r="V33" s="72"/>
      <c r="W33" s="53">
        <v>6.6</v>
      </c>
      <c r="X33" s="72">
        <v>8</v>
      </c>
      <c r="Y33" s="72">
        <v>3</v>
      </c>
      <c r="Z33" s="90" t="s">
        <v>82</v>
      </c>
      <c r="AA33" s="91">
        <v>10</v>
      </c>
      <c r="AB33" s="50">
        <v>7</v>
      </c>
    </row>
    <row r="34" spans="1:28" ht="14.5">
      <c r="A34" s="394">
        <f t="shared" si="1"/>
        <v>44957</v>
      </c>
      <c r="B34" s="61">
        <v>66.3</v>
      </c>
      <c r="C34" s="66">
        <v>30.07</v>
      </c>
      <c r="D34" s="53">
        <v>1018.2904799999999</v>
      </c>
      <c r="E34" s="92">
        <v>1023.4</v>
      </c>
      <c r="F34" s="50">
        <v>88.807013474082027</v>
      </c>
      <c r="G34" s="85">
        <v>6.4642268838110626</v>
      </c>
      <c r="H34" s="61">
        <v>8.1999999999999993</v>
      </c>
      <c r="I34" s="51">
        <v>8.1999999999999993</v>
      </c>
      <c r="J34" s="51">
        <v>7.4</v>
      </c>
      <c r="K34" s="51">
        <v>11.9</v>
      </c>
      <c r="L34" s="51">
        <v>11.9</v>
      </c>
      <c r="M34" s="43">
        <f t="shared" si="0"/>
        <v>7.7</v>
      </c>
      <c r="N34" s="51">
        <v>3.5</v>
      </c>
      <c r="O34" s="51">
        <v>-2</v>
      </c>
      <c r="P34" s="51">
        <v>-0.4</v>
      </c>
      <c r="Q34" s="51">
        <v>3.6</v>
      </c>
      <c r="R34" s="51">
        <v>3.5</v>
      </c>
      <c r="S34" s="51">
        <v>5.3</v>
      </c>
      <c r="T34" s="51" t="s">
        <v>93</v>
      </c>
      <c r="U34" s="81">
        <v>1</v>
      </c>
      <c r="V34" s="72"/>
      <c r="W34" s="53">
        <v>5.5</v>
      </c>
      <c r="X34" s="72">
        <v>8</v>
      </c>
      <c r="Y34" s="72">
        <v>7</v>
      </c>
      <c r="Z34" s="90" t="s">
        <v>82</v>
      </c>
      <c r="AA34" s="91">
        <v>12</v>
      </c>
      <c r="AB34" s="50">
        <v>8.4</v>
      </c>
    </row>
    <row r="35" spans="1:28" ht="14.5">
      <c r="A35" s="394">
        <f t="shared" si="1"/>
        <v>44958</v>
      </c>
      <c r="B35" s="377">
        <v>67.599999999999994</v>
      </c>
      <c r="C35" s="62">
        <v>30.103999999999999</v>
      </c>
      <c r="D35" s="53">
        <v>1019.4418559999999</v>
      </c>
      <c r="E35" s="71">
        <v>1024.0999999999999</v>
      </c>
      <c r="F35" s="57">
        <v>70.201628254244099</v>
      </c>
      <c r="G35" s="85">
        <v>2.3283036970248192</v>
      </c>
      <c r="H35" s="45">
        <v>7.4</v>
      </c>
      <c r="I35" s="43">
        <v>7.5</v>
      </c>
      <c r="J35" s="51">
        <v>5.3</v>
      </c>
      <c r="K35" s="43">
        <v>10</v>
      </c>
      <c r="L35" s="43">
        <v>10.1</v>
      </c>
      <c r="M35" s="43">
        <f t="shared" si="0"/>
        <v>7.3</v>
      </c>
      <c r="N35" s="43">
        <v>4.5999999999999996</v>
      </c>
      <c r="O35" s="51">
        <v>-0.7</v>
      </c>
      <c r="P35" s="43">
        <v>1.4</v>
      </c>
      <c r="Q35" s="43">
        <v>3.1</v>
      </c>
      <c r="R35" s="43">
        <v>3.9</v>
      </c>
      <c r="S35" s="43">
        <v>5.4</v>
      </c>
      <c r="T35" s="44">
        <v>0</v>
      </c>
      <c r="U35" s="46">
        <v>1</v>
      </c>
      <c r="V35" s="89"/>
      <c r="W35" s="43">
        <v>2</v>
      </c>
      <c r="X35" s="46">
        <v>8</v>
      </c>
      <c r="Y35" s="46">
        <v>2</v>
      </c>
      <c r="Z35" s="48" t="s">
        <v>82</v>
      </c>
      <c r="AA35" s="49">
        <v>7</v>
      </c>
      <c r="AB35" s="50">
        <v>4.9000000000000004</v>
      </c>
    </row>
    <row r="36" spans="1:28" ht="14.5">
      <c r="A36" s="394">
        <f t="shared" si="1"/>
        <v>44959</v>
      </c>
      <c r="B36" s="378">
        <v>70</v>
      </c>
      <c r="C36" s="56">
        <v>30.172000000000001</v>
      </c>
      <c r="D36" s="53">
        <v>1021.744608</v>
      </c>
      <c r="E36" s="44">
        <v>1026.2</v>
      </c>
      <c r="F36" s="57">
        <v>91.839066403161667</v>
      </c>
      <c r="G36" s="85">
        <v>7.7447856428349207</v>
      </c>
      <c r="H36" s="61">
        <v>9</v>
      </c>
      <c r="I36" s="51">
        <v>9.1</v>
      </c>
      <c r="J36" s="51">
        <v>8.4</v>
      </c>
      <c r="K36" s="51">
        <v>11.5</v>
      </c>
      <c r="L36" s="51">
        <v>11.6</v>
      </c>
      <c r="M36" s="43">
        <f t="shared" ref="M36:M67" si="2">AVERAGE(K36,N36)</f>
        <v>8.85</v>
      </c>
      <c r="N36" s="51">
        <v>6.2</v>
      </c>
      <c r="O36" s="51">
        <v>1.3</v>
      </c>
      <c r="P36" s="51">
        <v>2.9</v>
      </c>
      <c r="Q36" s="51">
        <v>4.7</v>
      </c>
      <c r="R36" s="51">
        <v>4.4000000000000004</v>
      </c>
      <c r="S36" s="51">
        <v>5.5</v>
      </c>
      <c r="T36" s="53" t="s">
        <v>93</v>
      </c>
      <c r="U36" s="72">
        <v>1</v>
      </c>
      <c r="V36" s="89"/>
      <c r="W36" s="51">
        <v>2</v>
      </c>
      <c r="X36" s="72">
        <v>8</v>
      </c>
      <c r="Y36" s="72">
        <v>7</v>
      </c>
      <c r="Z36" s="90" t="s">
        <v>82</v>
      </c>
      <c r="AA36" s="91">
        <v>15</v>
      </c>
      <c r="AB36" s="50">
        <v>10.5</v>
      </c>
    </row>
    <row r="37" spans="1:28" ht="14.5">
      <c r="A37" s="394">
        <f t="shared" si="1"/>
        <v>44960</v>
      </c>
      <c r="B37" s="378">
        <v>69</v>
      </c>
      <c r="C37" s="66">
        <v>30.28</v>
      </c>
      <c r="D37" s="53">
        <v>1025.40192</v>
      </c>
      <c r="E37" s="53">
        <v>1030</v>
      </c>
      <c r="F37" s="57">
        <v>87.858233300001672</v>
      </c>
      <c r="G37" s="85">
        <v>7.1948432585801028</v>
      </c>
      <c r="H37" s="61">
        <v>9.1</v>
      </c>
      <c r="I37" s="51">
        <v>9.1999999999999993</v>
      </c>
      <c r="J37" s="60">
        <v>8.1999999999999993</v>
      </c>
      <c r="K37" s="51">
        <v>11.9</v>
      </c>
      <c r="L37" s="51">
        <v>12.1</v>
      </c>
      <c r="M37" s="43">
        <f t="shared" si="2"/>
        <v>9.75</v>
      </c>
      <c r="N37" s="51">
        <v>7.6</v>
      </c>
      <c r="O37" s="51">
        <v>4.5999999999999996</v>
      </c>
      <c r="P37" s="51">
        <v>4.5999999999999996</v>
      </c>
      <c r="Q37" s="51">
        <v>5.8</v>
      </c>
      <c r="R37" s="51">
        <v>5.4</v>
      </c>
      <c r="S37" s="51">
        <v>5.4</v>
      </c>
      <c r="T37" s="53">
        <v>0</v>
      </c>
      <c r="U37" s="72">
        <v>1</v>
      </c>
      <c r="V37" s="89"/>
      <c r="W37" s="51">
        <v>0.5</v>
      </c>
      <c r="X37" s="72">
        <v>8</v>
      </c>
      <c r="Y37" s="72">
        <v>4</v>
      </c>
      <c r="Z37" s="90" t="s">
        <v>82</v>
      </c>
      <c r="AA37" s="91">
        <v>12</v>
      </c>
      <c r="AB37" s="50">
        <v>8.4</v>
      </c>
    </row>
    <row r="38" spans="1:28" ht="14.5">
      <c r="A38" s="394">
        <f t="shared" si="1"/>
        <v>44961</v>
      </c>
      <c r="B38" s="378">
        <v>68.5</v>
      </c>
      <c r="C38" s="66">
        <v>30.5</v>
      </c>
      <c r="D38" s="53">
        <v>1032.8519999999999</v>
      </c>
      <c r="E38" s="53">
        <v>1037</v>
      </c>
      <c r="F38" s="57">
        <v>92.658784923064346</v>
      </c>
      <c r="G38" s="85">
        <v>5.9920460511435367</v>
      </c>
      <c r="H38" s="73">
        <v>7.1</v>
      </c>
      <c r="I38" s="73">
        <v>7</v>
      </c>
      <c r="J38" s="53">
        <v>6.6</v>
      </c>
      <c r="K38" s="51">
        <v>9.1999999999999993</v>
      </c>
      <c r="L38" s="51">
        <v>9.3000000000000007</v>
      </c>
      <c r="M38" s="43">
        <f t="shared" si="2"/>
        <v>7.8</v>
      </c>
      <c r="N38" s="51">
        <v>6.4</v>
      </c>
      <c r="O38" s="51">
        <v>1.6</v>
      </c>
      <c r="P38" s="51">
        <v>3.1</v>
      </c>
      <c r="Q38" s="51">
        <v>6.1</v>
      </c>
      <c r="R38" s="53">
        <v>5.9</v>
      </c>
      <c r="S38" s="51">
        <v>5.6</v>
      </c>
      <c r="T38" s="53">
        <v>0</v>
      </c>
      <c r="U38" s="60">
        <v>1</v>
      </c>
      <c r="V38" s="89"/>
      <c r="W38" s="51">
        <v>0</v>
      </c>
      <c r="X38" s="60">
        <v>8</v>
      </c>
      <c r="Y38" s="60">
        <v>8</v>
      </c>
      <c r="Z38" s="90" t="s">
        <v>82</v>
      </c>
      <c r="AA38" s="91">
        <v>4</v>
      </c>
      <c r="AB38" s="50">
        <v>2.8</v>
      </c>
    </row>
    <row r="39" spans="1:28" ht="14.5">
      <c r="A39" s="394">
        <f t="shared" si="1"/>
        <v>44962</v>
      </c>
      <c r="B39" s="61">
        <v>67</v>
      </c>
      <c r="C39" s="67">
        <v>30.692</v>
      </c>
      <c r="D39" s="53">
        <v>1039.3538879999999</v>
      </c>
      <c r="E39" s="53">
        <v>1046.0999999999999</v>
      </c>
      <c r="F39" s="50">
        <v>89.20106409048401</v>
      </c>
      <c r="G39" s="85">
        <v>0.80443675272993898</v>
      </c>
      <c r="H39" s="61">
        <v>2.4</v>
      </c>
      <c r="I39" s="51">
        <v>2.6</v>
      </c>
      <c r="J39" s="51">
        <v>1.8</v>
      </c>
      <c r="K39" s="51">
        <v>7.6</v>
      </c>
      <c r="L39" s="51">
        <v>7.6</v>
      </c>
      <c r="M39" s="43">
        <f t="shared" si="2"/>
        <v>4.5</v>
      </c>
      <c r="N39" s="51">
        <v>1.4</v>
      </c>
      <c r="O39" s="51">
        <v>-3.2</v>
      </c>
      <c r="P39" s="51">
        <v>-1.2</v>
      </c>
      <c r="Q39" s="51">
        <v>3.9</v>
      </c>
      <c r="R39" s="51">
        <v>5.8</v>
      </c>
      <c r="S39" s="51">
        <v>6</v>
      </c>
      <c r="T39" s="53">
        <v>0</v>
      </c>
      <c r="U39" s="72">
        <v>4</v>
      </c>
      <c r="V39" s="89"/>
      <c r="W39" s="51">
        <v>5.3</v>
      </c>
      <c r="X39" s="72">
        <v>8</v>
      </c>
      <c r="Y39" s="72">
        <v>1</v>
      </c>
      <c r="Z39" s="90" t="s">
        <v>82</v>
      </c>
      <c r="AA39" s="91">
        <v>5</v>
      </c>
      <c r="AB39" s="50">
        <v>3.5</v>
      </c>
    </row>
    <row r="40" spans="1:28" ht="14.5">
      <c r="A40" s="394">
        <f t="shared" si="1"/>
        <v>44963</v>
      </c>
      <c r="B40" s="61">
        <v>65.3</v>
      </c>
      <c r="C40" s="67">
        <v>30.635999999999999</v>
      </c>
      <c r="D40" s="53">
        <v>1037.457504</v>
      </c>
      <c r="E40" s="53">
        <v>1042.0999999999999</v>
      </c>
      <c r="F40" s="50">
        <v>92.05762129490445</v>
      </c>
      <c r="G40" s="85">
        <v>-0.73881278588598087</v>
      </c>
      <c r="H40" s="61">
        <v>0.4</v>
      </c>
      <c r="I40" s="51">
        <v>0.4</v>
      </c>
      <c r="J40" s="51">
        <v>0</v>
      </c>
      <c r="K40" s="51">
        <v>9.6</v>
      </c>
      <c r="L40" s="51">
        <v>9.6</v>
      </c>
      <c r="M40" s="43">
        <f t="shared" si="2"/>
        <v>3.8499999999999996</v>
      </c>
      <c r="N40" s="51">
        <v>-1.9</v>
      </c>
      <c r="O40" s="51">
        <v>-5.5</v>
      </c>
      <c r="P40" s="51">
        <v>-4</v>
      </c>
      <c r="Q40" s="51">
        <v>2.1</v>
      </c>
      <c r="R40" s="51">
        <v>4.5999999999999996</v>
      </c>
      <c r="S40" s="51">
        <v>5.0999999999999996</v>
      </c>
      <c r="T40" s="53">
        <v>0</v>
      </c>
      <c r="U40" s="72">
        <v>4</v>
      </c>
      <c r="V40" s="89"/>
      <c r="W40" s="51">
        <v>8.75</v>
      </c>
      <c r="X40" s="72">
        <v>8</v>
      </c>
      <c r="Y40" s="72">
        <v>0</v>
      </c>
      <c r="Z40" s="90" t="s">
        <v>82</v>
      </c>
      <c r="AA40" s="91">
        <v>2</v>
      </c>
      <c r="AB40" s="50">
        <v>1.4</v>
      </c>
    </row>
    <row r="41" spans="1:28" ht="14.5">
      <c r="A41" s="394">
        <f t="shared" si="1"/>
        <v>44964</v>
      </c>
      <c r="B41" s="61">
        <v>66.5</v>
      </c>
      <c r="C41" s="67">
        <v>30.532</v>
      </c>
      <c r="D41" s="53">
        <v>1033.9356479999999</v>
      </c>
      <c r="E41" s="53">
        <v>1038.0999999999999</v>
      </c>
      <c r="F41" s="50">
        <v>100</v>
      </c>
      <c r="G41" s="85">
        <v>-0.59999999999999931</v>
      </c>
      <c r="H41" s="61">
        <v>-0.6</v>
      </c>
      <c r="I41" s="51">
        <v>-0.5</v>
      </c>
      <c r="J41" s="51">
        <v>-0.6</v>
      </c>
      <c r="K41" s="51">
        <v>9.1</v>
      </c>
      <c r="L41" s="51">
        <v>9.1999999999999993</v>
      </c>
      <c r="M41" s="43">
        <f t="shared" si="2"/>
        <v>3.25</v>
      </c>
      <c r="N41" s="53">
        <v>-2.6</v>
      </c>
      <c r="O41" s="51">
        <v>-4.5</v>
      </c>
      <c r="P41" s="51">
        <v>-4.4000000000000004</v>
      </c>
      <c r="Q41" s="51">
        <v>1.6</v>
      </c>
      <c r="R41" s="51">
        <v>4.0999999999999996</v>
      </c>
      <c r="S41" s="51">
        <v>6.2</v>
      </c>
      <c r="T41" s="53">
        <v>0</v>
      </c>
      <c r="U41" s="72">
        <v>4</v>
      </c>
      <c r="V41" s="54"/>
      <c r="W41" s="51">
        <v>8.1999999999999993</v>
      </c>
      <c r="X41" s="81">
        <v>7</v>
      </c>
      <c r="Y41" s="81">
        <v>1</v>
      </c>
      <c r="Z41" s="90" t="s">
        <v>82</v>
      </c>
      <c r="AA41" s="91">
        <v>0</v>
      </c>
      <c r="AB41" s="50">
        <v>0</v>
      </c>
    </row>
    <row r="42" spans="1:28" ht="14.5">
      <c r="A42" s="394">
        <f t="shared" si="1"/>
        <v>44965</v>
      </c>
      <c r="B42" s="61">
        <v>66.900000000000006</v>
      </c>
      <c r="C42" s="67">
        <v>30.43</v>
      </c>
      <c r="D42" s="53">
        <v>1030.4815199999998</v>
      </c>
      <c r="E42" s="53">
        <v>1035.8</v>
      </c>
      <c r="F42" s="50">
        <v>97.713737850166694</v>
      </c>
      <c r="G42" s="85">
        <v>-2.6123164916026496</v>
      </c>
      <c r="H42" s="61">
        <v>-2.2999999999999998</v>
      </c>
      <c r="I42" s="51">
        <v>-2.2999999999999998</v>
      </c>
      <c r="J42" s="51">
        <v>-2.4</v>
      </c>
      <c r="K42" s="51">
        <v>7.7</v>
      </c>
      <c r="L42" s="51">
        <v>7.7</v>
      </c>
      <c r="M42" s="43">
        <f t="shared" si="2"/>
        <v>1.8000000000000003</v>
      </c>
      <c r="N42" s="51">
        <v>-4.0999999999999996</v>
      </c>
      <c r="O42" s="51">
        <v>-5.5</v>
      </c>
      <c r="P42" s="51">
        <v>-5.0999999999999996</v>
      </c>
      <c r="Q42" s="51">
        <v>1.4</v>
      </c>
      <c r="R42" s="51">
        <v>3</v>
      </c>
      <c r="S42" s="51">
        <v>6.1</v>
      </c>
      <c r="T42" s="51">
        <v>0</v>
      </c>
      <c r="U42" s="72">
        <v>4</v>
      </c>
      <c r="V42" s="53"/>
      <c r="W42" s="53">
        <v>6.85</v>
      </c>
      <c r="X42" s="72">
        <v>4</v>
      </c>
      <c r="Y42" s="72">
        <v>1</v>
      </c>
      <c r="Z42" s="90" t="s">
        <v>82</v>
      </c>
      <c r="AA42" s="91">
        <v>0</v>
      </c>
      <c r="AB42" s="50">
        <v>0</v>
      </c>
    </row>
    <row r="43" spans="1:28" ht="14.5">
      <c r="A43" s="394">
        <f t="shared" si="1"/>
        <v>44966</v>
      </c>
      <c r="B43" s="61">
        <v>67.900000000000006</v>
      </c>
      <c r="C43" s="67">
        <v>30.32</v>
      </c>
      <c r="D43" s="53">
        <v>1026.75648</v>
      </c>
      <c r="E43" s="53">
        <v>1032</v>
      </c>
      <c r="F43" s="50">
        <v>86.883467911528683</v>
      </c>
      <c r="G43" s="85">
        <v>2.4079221319523074</v>
      </c>
      <c r="H43" s="61">
        <v>4.4000000000000004</v>
      </c>
      <c r="I43" s="51">
        <v>4.4000000000000004</v>
      </c>
      <c r="J43" s="51">
        <v>3.6</v>
      </c>
      <c r="K43" s="51">
        <v>9.3000000000000007</v>
      </c>
      <c r="L43" s="51">
        <v>9.4</v>
      </c>
      <c r="M43" s="43">
        <f t="shared" si="2"/>
        <v>3.4000000000000004</v>
      </c>
      <c r="N43" s="65">
        <v>-2.5</v>
      </c>
      <c r="O43" s="65">
        <v>-2.6</v>
      </c>
      <c r="P43" s="65">
        <v>-2.6</v>
      </c>
      <c r="Q43" s="51">
        <v>1.6</v>
      </c>
      <c r="R43" s="51">
        <v>2.6</v>
      </c>
      <c r="S43" s="51">
        <v>5.8</v>
      </c>
      <c r="T43" s="53">
        <v>0</v>
      </c>
      <c r="U43" s="72">
        <v>1</v>
      </c>
      <c r="V43" s="93"/>
      <c r="W43" s="51">
        <v>5.4</v>
      </c>
      <c r="X43" s="72">
        <v>7</v>
      </c>
      <c r="Y43" s="72">
        <v>8</v>
      </c>
      <c r="Z43" s="90" t="s">
        <v>82</v>
      </c>
      <c r="AA43" s="91">
        <v>5</v>
      </c>
      <c r="AB43" s="50">
        <v>3.5</v>
      </c>
    </row>
    <row r="44" spans="1:28" ht="14.5">
      <c r="A44" s="394">
        <f t="shared" si="1"/>
        <v>44967</v>
      </c>
      <c r="B44" s="61">
        <v>67</v>
      </c>
      <c r="C44" s="67">
        <v>30.466000000000001</v>
      </c>
      <c r="D44" s="53">
        <v>1031.7006240000001</v>
      </c>
      <c r="E44" s="53">
        <v>1036.0999999999999</v>
      </c>
      <c r="F44" s="50">
        <v>88.172129140283005</v>
      </c>
      <c r="G44" s="85">
        <v>-1.2294545006944078</v>
      </c>
      <c r="H44" s="61">
        <v>0.5</v>
      </c>
      <c r="I44" s="51">
        <v>0.4</v>
      </c>
      <c r="J44" s="51">
        <v>-0.1</v>
      </c>
      <c r="K44" s="51">
        <v>9</v>
      </c>
      <c r="L44" s="51">
        <v>9.1999999999999993</v>
      </c>
      <c r="M44" s="43">
        <f t="shared" si="2"/>
        <v>3.75</v>
      </c>
      <c r="N44" s="51">
        <v>-1.5</v>
      </c>
      <c r="O44" s="51">
        <v>-4.9000000000000004</v>
      </c>
      <c r="P44" s="51">
        <v>-3.9</v>
      </c>
      <c r="Q44" s="51">
        <v>1.4</v>
      </c>
      <c r="R44" s="51">
        <v>2.7</v>
      </c>
      <c r="S44" s="51">
        <v>5.6</v>
      </c>
      <c r="T44" s="51">
        <v>0</v>
      </c>
      <c r="U44" s="72">
        <v>4</v>
      </c>
      <c r="V44" s="93"/>
      <c r="W44" s="53">
        <v>2.5</v>
      </c>
      <c r="X44" s="72">
        <v>8</v>
      </c>
      <c r="Y44" s="72">
        <v>1</v>
      </c>
      <c r="Z44" s="90" t="s">
        <v>82</v>
      </c>
      <c r="AA44" s="91">
        <v>5</v>
      </c>
      <c r="AB44" s="50">
        <v>3.5</v>
      </c>
    </row>
    <row r="45" spans="1:28" ht="14.5">
      <c r="A45" s="394">
        <f t="shared" si="1"/>
        <v>44968</v>
      </c>
      <c r="B45" s="61">
        <v>68.8</v>
      </c>
      <c r="C45" s="66">
        <v>30.384</v>
      </c>
      <c r="D45" s="53">
        <v>1028.9237759999999</v>
      </c>
      <c r="E45" s="53">
        <v>1036.2</v>
      </c>
      <c r="F45" s="50">
        <v>85.937361817381557</v>
      </c>
      <c r="G45" s="85">
        <v>5.791637109651437</v>
      </c>
      <c r="H45" s="61">
        <v>8</v>
      </c>
      <c r="I45" s="51">
        <v>8</v>
      </c>
      <c r="J45" s="51">
        <v>7</v>
      </c>
      <c r="K45" s="51">
        <v>11.4</v>
      </c>
      <c r="L45" s="51">
        <v>11.5</v>
      </c>
      <c r="M45" s="43">
        <f t="shared" si="2"/>
        <v>5.95</v>
      </c>
      <c r="N45" s="51">
        <v>0.5</v>
      </c>
      <c r="O45" s="51">
        <v>-1.2</v>
      </c>
      <c r="P45" s="51">
        <v>-1.1000000000000001</v>
      </c>
      <c r="Q45" s="51">
        <v>4.5999999999999996</v>
      </c>
      <c r="R45" s="51">
        <v>3.3</v>
      </c>
      <c r="S45" s="51">
        <v>5.5</v>
      </c>
      <c r="T45" s="51">
        <v>0</v>
      </c>
      <c r="U45" s="72">
        <v>1</v>
      </c>
      <c r="V45" s="93"/>
      <c r="W45" s="51">
        <v>0.8</v>
      </c>
      <c r="X45" s="72">
        <v>8</v>
      </c>
      <c r="Y45" s="72">
        <v>8</v>
      </c>
      <c r="Z45" s="90" t="s">
        <v>82</v>
      </c>
      <c r="AA45" s="91">
        <v>8</v>
      </c>
      <c r="AB45" s="50">
        <v>5.6</v>
      </c>
    </row>
    <row r="46" spans="1:28" ht="14.5">
      <c r="A46" s="394">
        <f t="shared" si="1"/>
        <v>44969</v>
      </c>
      <c r="B46" s="61">
        <v>67.400000000000006</v>
      </c>
      <c r="C46" s="66">
        <v>30.425999999999998</v>
      </c>
      <c r="D46" s="53">
        <v>1030.3460639999998</v>
      </c>
      <c r="E46" s="53">
        <v>1037.2</v>
      </c>
      <c r="F46" s="50">
        <v>70.915897917114563</v>
      </c>
      <c r="G46" s="85">
        <v>3.0471956272057579</v>
      </c>
      <c r="H46" s="61">
        <v>8</v>
      </c>
      <c r="I46" s="51">
        <v>8</v>
      </c>
      <c r="J46" s="51">
        <v>5.9</v>
      </c>
      <c r="K46" s="51">
        <v>8.8000000000000007</v>
      </c>
      <c r="L46" s="51">
        <v>9.1</v>
      </c>
      <c r="M46" s="43">
        <f t="shared" si="2"/>
        <v>8</v>
      </c>
      <c r="N46" s="51">
        <v>7.2</v>
      </c>
      <c r="O46" s="51">
        <v>5.3</v>
      </c>
      <c r="P46" s="51">
        <v>5.6</v>
      </c>
      <c r="Q46" s="51">
        <v>5.5</v>
      </c>
      <c r="R46" s="51">
        <v>4.7</v>
      </c>
      <c r="S46" s="51">
        <v>5.5</v>
      </c>
      <c r="T46" s="51">
        <v>0</v>
      </c>
      <c r="U46" s="72">
        <v>1</v>
      </c>
      <c r="V46" s="51"/>
      <c r="W46" s="51">
        <v>0</v>
      </c>
      <c r="X46" s="72">
        <v>8</v>
      </c>
      <c r="Y46" s="72">
        <v>8</v>
      </c>
      <c r="Z46" s="90" t="s">
        <v>82</v>
      </c>
      <c r="AA46" s="91">
        <v>0</v>
      </c>
      <c r="AB46" s="50">
        <v>0</v>
      </c>
    </row>
    <row r="47" spans="1:28" ht="14.5">
      <c r="A47" s="394">
        <f t="shared" si="1"/>
        <v>44970</v>
      </c>
      <c r="B47" s="61">
        <v>66</v>
      </c>
      <c r="C47" s="66">
        <v>30.376000000000001</v>
      </c>
      <c r="D47" s="53">
        <v>1028.6528639999999</v>
      </c>
      <c r="E47" s="53">
        <v>1034.2</v>
      </c>
      <c r="F47" s="50">
        <v>81.811055264545089</v>
      </c>
      <c r="G47" s="85">
        <v>3.2265909499181618</v>
      </c>
      <c r="H47" s="61">
        <v>6.1</v>
      </c>
      <c r="I47" s="51">
        <v>6.2</v>
      </c>
      <c r="J47" s="51">
        <v>4.9000000000000004</v>
      </c>
      <c r="K47" s="51">
        <v>10.4</v>
      </c>
      <c r="L47" s="51">
        <v>10.5</v>
      </c>
      <c r="M47" s="43">
        <f t="shared" si="2"/>
        <v>8.1</v>
      </c>
      <c r="N47" s="51">
        <v>5.8</v>
      </c>
      <c r="O47" s="51">
        <v>5.4</v>
      </c>
      <c r="P47" s="51">
        <v>5.4</v>
      </c>
      <c r="Q47" s="51">
        <v>6.1</v>
      </c>
      <c r="R47" s="51">
        <v>5.4</v>
      </c>
      <c r="S47" s="51">
        <v>5.8</v>
      </c>
      <c r="T47" s="51" t="s">
        <v>93</v>
      </c>
      <c r="U47" s="72">
        <v>1</v>
      </c>
      <c r="V47" s="89"/>
      <c r="W47" s="51">
        <v>5.2</v>
      </c>
      <c r="X47" s="72">
        <v>6</v>
      </c>
      <c r="Y47" s="72">
        <v>8</v>
      </c>
      <c r="Z47" s="90" t="s">
        <v>82</v>
      </c>
      <c r="AA47" s="91">
        <v>12</v>
      </c>
      <c r="AB47" s="50">
        <v>8.4</v>
      </c>
    </row>
    <row r="48" spans="1:28" ht="14.5">
      <c r="A48" s="394">
        <f t="shared" si="1"/>
        <v>44971</v>
      </c>
      <c r="B48" s="61">
        <v>67.8</v>
      </c>
      <c r="C48" s="66">
        <v>30.318000000000001</v>
      </c>
      <c r="D48" s="53">
        <v>1026.688752</v>
      </c>
      <c r="E48" s="53">
        <v>1031.5999999999999</v>
      </c>
      <c r="F48" s="50">
        <v>98.38113322670489</v>
      </c>
      <c r="G48" s="85">
        <v>4.66616526437637</v>
      </c>
      <c r="H48" s="61">
        <v>4.9000000000000004</v>
      </c>
      <c r="I48" s="51">
        <v>4.9000000000000004</v>
      </c>
      <c r="J48" s="51">
        <v>4.8</v>
      </c>
      <c r="K48" s="51">
        <v>10.4</v>
      </c>
      <c r="L48" s="51">
        <v>10.5</v>
      </c>
      <c r="M48" s="43">
        <f t="shared" si="2"/>
        <v>4.5</v>
      </c>
      <c r="N48" s="65">
        <v>-1.4</v>
      </c>
      <c r="O48" s="65">
        <v>-2.6</v>
      </c>
      <c r="P48" s="65">
        <v>1.6</v>
      </c>
      <c r="Q48" s="51">
        <v>5</v>
      </c>
      <c r="R48" s="51">
        <v>5.2</v>
      </c>
      <c r="S48" s="51">
        <v>5.8</v>
      </c>
      <c r="T48" s="51">
        <v>0</v>
      </c>
      <c r="U48" s="72">
        <v>1</v>
      </c>
      <c r="V48" s="89"/>
      <c r="W48" s="51">
        <v>4.0999999999999996</v>
      </c>
      <c r="X48" s="72">
        <v>2</v>
      </c>
      <c r="Y48" s="72">
        <v>8</v>
      </c>
      <c r="Z48" s="90" t="s">
        <v>95</v>
      </c>
      <c r="AA48" s="91">
        <v>7</v>
      </c>
      <c r="AB48" s="50">
        <v>4.9000000000000004</v>
      </c>
    </row>
    <row r="49" spans="1:28" ht="14.5">
      <c r="A49" s="394">
        <f t="shared" si="1"/>
        <v>44972</v>
      </c>
      <c r="B49" s="74">
        <v>68.099999999999994</v>
      </c>
      <c r="C49" s="68">
        <v>30.032</v>
      </c>
      <c r="D49" s="53">
        <v>1017.0036479999999</v>
      </c>
      <c r="E49" s="53">
        <v>1022.3</v>
      </c>
      <c r="F49" s="50">
        <v>88.901940076377002</v>
      </c>
      <c r="G49" s="85">
        <v>3.5203681633795116</v>
      </c>
      <c r="H49" s="74">
        <v>5.2</v>
      </c>
      <c r="I49" s="55">
        <v>5.3</v>
      </c>
      <c r="J49" s="55">
        <v>4.5</v>
      </c>
      <c r="K49" s="55">
        <v>14.7</v>
      </c>
      <c r="L49" s="55">
        <v>14.8</v>
      </c>
      <c r="M49" s="43">
        <f t="shared" si="2"/>
        <v>7.25</v>
      </c>
      <c r="N49" s="55">
        <v>-0.2</v>
      </c>
      <c r="O49" s="55">
        <v>-4.5999999999999996</v>
      </c>
      <c r="P49" s="55">
        <v>-2.2999999999999998</v>
      </c>
      <c r="Q49" s="55">
        <v>3.2</v>
      </c>
      <c r="R49" s="55">
        <v>4.9000000000000004</v>
      </c>
      <c r="S49" s="55">
        <v>5.9</v>
      </c>
      <c r="T49" s="55">
        <v>0.2</v>
      </c>
      <c r="U49" s="75">
        <v>1</v>
      </c>
      <c r="V49" s="94"/>
      <c r="W49" s="55">
        <v>5.9</v>
      </c>
      <c r="X49" s="75">
        <v>6</v>
      </c>
      <c r="Y49" s="75">
        <v>0</v>
      </c>
      <c r="Z49" s="95" t="s">
        <v>82</v>
      </c>
      <c r="AA49" s="76">
        <v>6</v>
      </c>
      <c r="AB49" s="50">
        <v>4.2</v>
      </c>
    </row>
    <row r="50" spans="1:28" ht="14.5">
      <c r="A50" s="394">
        <f t="shared" si="1"/>
        <v>44973</v>
      </c>
      <c r="B50" s="61">
        <v>66.5</v>
      </c>
      <c r="C50" s="66">
        <v>29.925999999999998</v>
      </c>
      <c r="D50" s="53">
        <v>1013.4140639999998</v>
      </c>
      <c r="E50" s="53">
        <v>1018.4</v>
      </c>
      <c r="F50" s="50">
        <v>88.264690578287031</v>
      </c>
      <c r="G50" s="85">
        <v>8.1492100832933634</v>
      </c>
      <c r="H50" s="61">
        <v>10</v>
      </c>
      <c r="I50" s="51">
        <v>10.1</v>
      </c>
      <c r="J50" s="51">
        <v>9.1</v>
      </c>
      <c r="K50" s="55">
        <v>12.9</v>
      </c>
      <c r="L50" s="55">
        <v>13</v>
      </c>
      <c r="M50" s="43">
        <f t="shared" si="2"/>
        <v>9.0500000000000007</v>
      </c>
      <c r="N50" s="51">
        <v>5.2</v>
      </c>
      <c r="O50" s="51">
        <v>1.2</v>
      </c>
      <c r="P50" s="51">
        <v>3.9</v>
      </c>
      <c r="Q50" s="51">
        <v>6.2</v>
      </c>
      <c r="R50" s="51">
        <v>5.4</v>
      </c>
      <c r="S50" s="51">
        <v>6</v>
      </c>
      <c r="T50" s="55">
        <v>0.1</v>
      </c>
      <c r="U50" s="72">
        <v>1</v>
      </c>
      <c r="V50" s="89"/>
      <c r="W50" s="55">
        <v>0</v>
      </c>
      <c r="X50" s="72">
        <v>8</v>
      </c>
      <c r="Y50" s="72">
        <v>7</v>
      </c>
      <c r="Z50" s="90" t="s">
        <v>89</v>
      </c>
      <c r="AA50" s="51">
        <v>12</v>
      </c>
      <c r="AB50" s="50">
        <v>8.4</v>
      </c>
    </row>
    <row r="51" spans="1:28" ht="14.5">
      <c r="A51" s="394">
        <f t="shared" si="1"/>
        <v>44974</v>
      </c>
      <c r="B51" s="74">
        <v>68.8</v>
      </c>
      <c r="C51" s="68">
        <v>29.952000000000002</v>
      </c>
      <c r="D51" s="53">
        <v>1014.294528</v>
      </c>
      <c r="E51" s="53">
        <v>1019.9</v>
      </c>
      <c r="F51" s="50">
        <v>86.265320418687324</v>
      </c>
      <c r="G51" s="85">
        <v>8.8934868314442248</v>
      </c>
      <c r="H51" s="74">
        <v>11.1</v>
      </c>
      <c r="I51" s="55">
        <v>11.2</v>
      </c>
      <c r="J51" s="76">
        <v>10</v>
      </c>
      <c r="K51" s="51">
        <v>14.5</v>
      </c>
      <c r="L51" s="51">
        <v>14.6</v>
      </c>
      <c r="M51" s="43">
        <f t="shared" si="2"/>
        <v>11.6</v>
      </c>
      <c r="N51" s="74">
        <v>8.6999999999999993</v>
      </c>
      <c r="O51" s="55">
        <v>5.5</v>
      </c>
      <c r="P51" s="55">
        <v>6.4</v>
      </c>
      <c r="Q51" s="55">
        <v>7.8</v>
      </c>
      <c r="R51" s="55">
        <v>6.5</v>
      </c>
      <c r="S51" s="76">
        <v>5.9</v>
      </c>
      <c r="T51" s="51">
        <v>0</v>
      </c>
      <c r="U51" s="77">
        <v>1</v>
      </c>
      <c r="V51" s="89"/>
      <c r="W51" s="51">
        <v>5.3</v>
      </c>
      <c r="X51" s="105">
        <v>8</v>
      </c>
      <c r="Y51" s="75">
        <v>2</v>
      </c>
      <c r="Z51" s="95" t="s">
        <v>82</v>
      </c>
      <c r="AA51" s="76">
        <v>19</v>
      </c>
      <c r="AB51" s="50">
        <v>13.3</v>
      </c>
    </row>
    <row r="52" spans="1:28" ht="14.5">
      <c r="A52" s="394">
        <f t="shared" si="1"/>
        <v>44975</v>
      </c>
      <c r="B52" s="61">
        <v>68.8</v>
      </c>
      <c r="C52" s="66">
        <v>29.931999999999999</v>
      </c>
      <c r="D52" s="53">
        <v>1013.6172479999999</v>
      </c>
      <c r="E52" s="53">
        <v>1020.5</v>
      </c>
      <c r="F52" s="50">
        <v>86.265320418687324</v>
      </c>
      <c r="G52" s="85">
        <v>8.8934868314442248</v>
      </c>
      <c r="H52" s="74">
        <v>11.1</v>
      </c>
      <c r="I52" s="55">
        <v>11.1</v>
      </c>
      <c r="J52" s="55">
        <v>10</v>
      </c>
      <c r="K52" s="78">
        <v>13.3</v>
      </c>
      <c r="L52" s="78">
        <v>13.4</v>
      </c>
      <c r="M52" s="43">
        <f t="shared" si="2"/>
        <v>11.8</v>
      </c>
      <c r="N52" s="108">
        <v>10.3</v>
      </c>
      <c r="O52" s="55">
        <v>7.3</v>
      </c>
      <c r="P52" s="55">
        <v>8.3000000000000007</v>
      </c>
      <c r="Q52" s="55">
        <v>8.5</v>
      </c>
      <c r="R52" s="55">
        <v>7.5</v>
      </c>
      <c r="S52" s="76">
        <v>6.2</v>
      </c>
      <c r="T52" s="51">
        <v>0</v>
      </c>
      <c r="U52" s="79">
        <v>1</v>
      </c>
      <c r="V52" s="96"/>
      <c r="W52" s="78">
        <v>0.75</v>
      </c>
      <c r="X52" s="75">
        <v>8</v>
      </c>
      <c r="Y52" s="75">
        <v>8</v>
      </c>
      <c r="Z52" s="95" t="s">
        <v>82</v>
      </c>
      <c r="AA52" s="55">
        <v>16</v>
      </c>
      <c r="AB52" s="97">
        <v>11.2</v>
      </c>
    </row>
    <row r="53" spans="1:28" ht="14.5">
      <c r="A53" s="394">
        <f t="shared" si="1"/>
        <v>44976</v>
      </c>
      <c r="B53" s="74">
        <v>68.400000000000006</v>
      </c>
      <c r="C53" s="68">
        <v>30.2</v>
      </c>
      <c r="D53" s="53">
        <v>1022.6927999999999</v>
      </c>
      <c r="E53" s="53">
        <v>1026.7</v>
      </c>
      <c r="F53" s="50">
        <v>71.375573455062167</v>
      </c>
      <c r="G53" s="86">
        <v>3.5231816083903964</v>
      </c>
      <c r="H53" s="61">
        <v>8.4</v>
      </c>
      <c r="I53" s="51">
        <v>8.6</v>
      </c>
      <c r="J53" s="51">
        <v>6.3</v>
      </c>
      <c r="K53" s="53">
        <v>13.8</v>
      </c>
      <c r="L53" s="60">
        <v>13.9</v>
      </c>
      <c r="M53" s="43">
        <f t="shared" si="2"/>
        <v>10.100000000000001</v>
      </c>
      <c r="N53" s="51">
        <v>6.4</v>
      </c>
      <c r="O53" s="51">
        <v>3.6</v>
      </c>
      <c r="P53" s="51">
        <v>3.9</v>
      </c>
      <c r="Q53" s="51">
        <v>6.8</v>
      </c>
      <c r="R53" s="51">
        <v>7.6</v>
      </c>
      <c r="S53" s="51">
        <v>6.6</v>
      </c>
      <c r="T53" s="80">
        <v>0</v>
      </c>
      <c r="U53" s="72">
        <v>1</v>
      </c>
      <c r="V53" s="89"/>
      <c r="W53" s="51">
        <v>6</v>
      </c>
      <c r="X53" s="72">
        <v>8</v>
      </c>
      <c r="Y53" s="72">
        <v>3</v>
      </c>
      <c r="Z53" s="90" t="s">
        <v>82</v>
      </c>
      <c r="AA53" s="51">
        <v>7</v>
      </c>
      <c r="AB53" s="50">
        <v>4.9000000000000004</v>
      </c>
    </row>
    <row r="54" spans="1:28" ht="14.5">
      <c r="A54" s="394">
        <f t="shared" si="1"/>
        <v>44977</v>
      </c>
      <c r="B54" s="379">
        <v>67.900000000000006</v>
      </c>
      <c r="C54" s="69">
        <v>30.106000000000002</v>
      </c>
      <c r="D54" s="53">
        <v>1019.509584</v>
      </c>
      <c r="E54" s="53">
        <v>1024.0999999999999</v>
      </c>
      <c r="F54" s="50">
        <v>87.950744187154712</v>
      </c>
      <c r="G54" s="87">
        <v>7.4072339356082697</v>
      </c>
      <c r="H54" s="73">
        <v>9.3000000000000007</v>
      </c>
      <c r="I54" s="60">
        <v>9.1999999999999993</v>
      </c>
      <c r="J54" s="60">
        <v>8.4</v>
      </c>
      <c r="K54" s="65">
        <v>13.8</v>
      </c>
      <c r="L54" s="65">
        <v>12.6</v>
      </c>
      <c r="M54" s="43">
        <f t="shared" si="2"/>
        <v>10.25</v>
      </c>
      <c r="N54" s="60">
        <v>6.7</v>
      </c>
      <c r="O54" s="60">
        <v>2.5</v>
      </c>
      <c r="P54" s="60">
        <v>4.4000000000000004</v>
      </c>
      <c r="Q54" s="53">
        <v>7.3</v>
      </c>
      <c r="R54" s="60">
        <v>7.3</v>
      </c>
      <c r="S54" s="53">
        <v>6.7</v>
      </c>
      <c r="T54" s="51" t="s">
        <v>93</v>
      </c>
      <c r="U54" s="81">
        <v>1</v>
      </c>
      <c r="V54" s="93"/>
      <c r="W54" s="51">
        <v>6.25</v>
      </c>
      <c r="X54" s="60">
        <v>8</v>
      </c>
      <c r="Y54" s="60">
        <v>7</v>
      </c>
      <c r="Z54" s="98" t="s">
        <v>82</v>
      </c>
      <c r="AA54" s="53">
        <v>15</v>
      </c>
      <c r="AB54" s="99">
        <v>10.5</v>
      </c>
    </row>
    <row r="55" spans="1:28" ht="14.5">
      <c r="A55" s="394">
        <f t="shared" si="1"/>
        <v>44978</v>
      </c>
      <c r="B55" s="82">
        <v>69.3</v>
      </c>
      <c r="C55" s="70">
        <v>29.943999999999999</v>
      </c>
      <c r="D55" s="53">
        <v>1014.0236159999998</v>
      </c>
      <c r="E55" s="51">
        <v>1018.4</v>
      </c>
      <c r="F55" s="59">
        <v>94.166278400544869</v>
      </c>
      <c r="G55" s="50">
        <v>6.4243446643924109</v>
      </c>
      <c r="H55" s="82">
        <v>7.3</v>
      </c>
      <c r="I55" s="58">
        <v>7.3</v>
      </c>
      <c r="J55" s="58">
        <v>6.9</v>
      </c>
      <c r="K55" s="51">
        <v>9.6</v>
      </c>
      <c r="L55" s="58">
        <v>9.6999999999999993</v>
      </c>
      <c r="M55" s="43">
        <f t="shared" si="2"/>
        <v>8.1</v>
      </c>
      <c r="N55" s="58">
        <v>6.6</v>
      </c>
      <c r="O55" s="58">
        <v>5.9</v>
      </c>
      <c r="P55" s="109">
        <v>6.9</v>
      </c>
      <c r="Q55" s="83">
        <v>7.9</v>
      </c>
      <c r="R55" s="58">
        <v>7.8</v>
      </c>
      <c r="S55" s="58">
        <v>6.9</v>
      </c>
      <c r="T55" s="58">
        <v>5.9</v>
      </c>
      <c r="U55" s="84">
        <v>1</v>
      </c>
      <c r="V55" s="101"/>
      <c r="W55" s="83">
        <v>0</v>
      </c>
      <c r="X55" s="102">
        <v>7</v>
      </c>
      <c r="Y55" s="102">
        <v>8</v>
      </c>
      <c r="Z55" s="103" t="s">
        <v>82</v>
      </c>
      <c r="AA55" s="100">
        <v>5</v>
      </c>
      <c r="AB55" s="104">
        <v>3.5</v>
      </c>
    </row>
    <row r="56" spans="1:28" ht="14.5">
      <c r="A56" s="394">
        <f t="shared" si="1"/>
        <v>44979</v>
      </c>
      <c r="B56" s="61">
        <v>69.3</v>
      </c>
      <c r="C56" s="66">
        <v>29.643999999999998</v>
      </c>
      <c r="D56" s="53">
        <v>1003.8644159999999</v>
      </c>
      <c r="E56" s="53">
        <v>1010.5</v>
      </c>
      <c r="F56" s="50">
        <v>94.070770195545492</v>
      </c>
      <c r="G56" s="88">
        <v>6.0124468805007698</v>
      </c>
      <c r="H56" s="61">
        <v>6.9</v>
      </c>
      <c r="I56" s="51">
        <v>6.9</v>
      </c>
      <c r="J56" s="51">
        <v>6.5</v>
      </c>
      <c r="K56" s="52">
        <v>10.3</v>
      </c>
      <c r="L56" s="51">
        <v>10.4</v>
      </c>
      <c r="M56" s="43">
        <f t="shared" si="2"/>
        <v>8.25</v>
      </c>
      <c r="N56" s="51">
        <v>6.2</v>
      </c>
      <c r="O56" s="51">
        <v>4.5</v>
      </c>
      <c r="P56" s="51">
        <v>5.6</v>
      </c>
      <c r="Q56" s="51">
        <v>7.2</v>
      </c>
      <c r="R56" s="51">
        <v>7.7</v>
      </c>
      <c r="S56" s="51">
        <v>7</v>
      </c>
      <c r="T56" s="51">
        <v>0.2</v>
      </c>
      <c r="U56" s="81">
        <v>1</v>
      </c>
      <c r="V56" s="72"/>
      <c r="W56" s="53">
        <v>1.75</v>
      </c>
      <c r="X56" s="81">
        <v>5</v>
      </c>
      <c r="Y56" s="81">
        <v>8</v>
      </c>
      <c r="Z56" s="90" t="s">
        <v>82</v>
      </c>
      <c r="AA56" s="91">
        <v>0</v>
      </c>
      <c r="AB56" s="50">
        <v>0</v>
      </c>
    </row>
    <row r="57" spans="1:28" ht="14.5">
      <c r="A57" s="394">
        <f t="shared" si="1"/>
        <v>44980</v>
      </c>
      <c r="B57" s="61">
        <v>69</v>
      </c>
      <c r="C57" s="66">
        <v>29.95</v>
      </c>
      <c r="D57" s="53">
        <v>1014.2267999999999</v>
      </c>
      <c r="E57" s="53">
        <v>1019.1</v>
      </c>
      <c r="F57" s="50">
        <v>81.734190053703585</v>
      </c>
      <c r="G57" s="85">
        <v>3.1155919251991846</v>
      </c>
      <c r="H57" s="61">
        <v>6</v>
      </c>
      <c r="I57" s="51">
        <v>6</v>
      </c>
      <c r="J57" s="51">
        <v>4.8</v>
      </c>
      <c r="K57" s="51">
        <v>7.6</v>
      </c>
      <c r="L57" s="51">
        <v>7.8</v>
      </c>
      <c r="M57" s="43">
        <f t="shared" si="2"/>
        <v>5.4499999999999993</v>
      </c>
      <c r="N57" s="51">
        <v>3.3</v>
      </c>
      <c r="O57" s="51">
        <v>-1.5</v>
      </c>
      <c r="P57" s="51">
        <v>1.5</v>
      </c>
      <c r="Q57" s="51">
        <v>6</v>
      </c>
      <c r="R57" s="51">
        <v>7.3</v>
      </c>
      <c r="S57" s="51">
        <v>7.2</v>
      </c>
      <c r="T57" s="53" t="s">
        <v>93</v>
      </c>
      <c r="U57" s="81">
        <v>1</v>
      </c>
      <c r="V57" s="72"/>
      <c r="W57" s="51">
        <v>0.1</v>
      </c>
      <c r="X57" s="72">
        <v>8</v>
      </c>
      <c r="Y57" s="72">
        <v>8</v>
      </c>
      <c r="Z57" s="90" t="s">
        <v>82</v>
      </c>
      <c r="AA57" s="91">
        <v>13</v>
      </c>
      <c r="AB57" s="50">
        <v>9.1</v>
      </c>
    </row>
    <row r="58" spans="1:28" ht="14.5">
      <c r="A58" s="394">
        <f t="shared" si="1"/>
        <v>44981</v>
      </c>
      <c r="B58" s="61">
        <v>67.099999999999994</v>
      </c>
      <c r="C58" s="66">
        <v>29.777999999999999</v>
      </c>
      <c r="D58" s="53">
        <v>1008.4021919999999</v>
      </c>
      <c r="E58" s="53">
        <v>1013.7</v>
      </c>
      <c r="F58" s="50">
        <v>78.632403260298602</v>
      </c>
      <c r="G58" s="85">
        <v>0.81890550957320407</v>
      </c>
      <c r="H58" s="61">
        <v>4.2</v>
      </c>
      <c r="I58" s="51">
        <v>4</v>
      </c>
      <c r="J58" s="51">
        <v>2.9</v>
      </c>
      <c r="K58" s="51">
        <v>11.2</v>
      </c>
      <c r="L58" s="51">
        <v>11.2</v>
      </c>
      <c r="M58" s="43">
        <f t="shared" si="2"/>
        <v>5.35</v>
      </c>
      <c r="N58" s="51">
        <v>-0.5</v>
      </c>
      <c r="O58" s="51">
        <v>-4.5999999999999996</v>
      </c>
      <c r="P58" s="51">
        <v>-1.7</v>
      </c>
      <c r="Q58" s="51">
        <v>3.6</v>
      </c>
      <c r="R58" s="51">
        <v>6.2</v>
      </c>
      <c r="S58" s="51">
        <v>7.2</v>
      </c>
      <c r="T58" s="53">
        <v>0.4</v>
      </c>
      <c r="U58" s="81">
        <v>1</v>
      </c>
      <c r="V58" s="72"/>
      <c r="W58" s="51">
        <v>2.5</v>
      </c>
      <c r="X58" s="72">
        <v>8</v>
      </c>
      <c r="Y58" s="72">
        <v>7</v>
      </c>
      <c r="Z58" s="90" t="s">
        <v>82</v>
      </c>
      <c r="AA58" s="91">
        <v>3</v>
      </c>
      <c r="AB58" s="50">
        <v>2.1</v>
      </c>
    </row>
    <row r="59" spans="1:28" ht="14.5">
      <c r="A59" s="394">
        <f t="shared" si="1"/>
        <v>44982</v>
      </c>
      <c r="B59" s="61">
        <v>67.599999999999994</v>
      </c>
      <c r="C59" s="66">
        <v>29.911999999999999</v>
      </c>
      <c r="D59" s="53">
        <v>1012.9399679999999</v>
      </c>
      <c r="E59" s="53">
        <v>1017.6</v>
      </c>
      <c r="F59" s="50">
        <v>74.261829070336958</v>
      </c>
      <c r="G59" s="85">
        <v>0.41473496144891187</v>
      </c>
      <c r="H59" s="61">
        <v>4.5999999999999996</v>
      </c>
      <c r="I59" s="51">
        <v>4.5999999999999996</v>
      </c>
      <c r="J59" s="51">
        <v>3</v>
      </c>
      <c r="K59" s="51">
        <v>7.8</v>
      </c>
      <c r="L59" s="51">
        <v>7.9</v>
      </c>
      <c r="M59" s="43">
        <f t="shared" si="2"/>
        <v>4.95</v>
      </c>
      <c r="N59" s="51">
        <v>2.1</v>
      </c>
      <c r="O59" s="51">
        <v>-0.9</v>
      </c>
      <c r="P59" s="51">
        <v>0.4</v>
      </c>
      <c r="Q59" s="51">
        <v>4.0999999999999996</v>
      </c>
      <c r="R59" s="51">
        <v>6</v>
      </c>
      <c r="S59" s="51">
        <v>7.2</v>
      </c>
      <c r="T59" s="51" t="s">
        <v>93</v>
      </c>
      <c r="U59" s="81">
        <v>1</v>
      </c>
      <c r="V59" s="72"/>
      <c r="W59" s="53">
        <v>0.8</v>
      </c>
      <c r="X59" s="72">
        <v>8</v>
      </c>
      <c r="Y59" s="72">
        <v>6</v>
      </c>
      <c r="Z59" s="90" t="s">
        <v>82</v>
      </c>
      <c r="AA59" s="91">
        <v>6</v>
      </c>
      <c r="AB59" s="50">
        <v>4.2</v>
      </c>
    </row>
    <row r="60" spans="1:28" ht="14.5">
      <c r="A60" s="394">
        <f t="shared" si="1"/>
        <v>44983</v>
      </c>
      <c r="B60" s="61">
        <v>66</v>
      </c>
      <c r="C60" s="66">
        <v>30.122</v>
      </c>
      <c r="D60" s="53">
        <v>1020.0514079999999</v>
      </c>
      <c r="E60" s="53">
        <v>1027</v>
      </c>
      <c r="F60" s="50">
        <v>77.421727695120694</v>
      </c>
      <c r="G60" s="85">
        <v>0.99229238865143521</v>
      </c>
      <c r="H60" s="61">
        <v>4.5999999999999996</v>
      </c>
      <c r="I60" s="51">
        <v>4.8</v>
      </c>
      <c r="J60" s="51">
        <v>3.2</v>
      </c>
      <c r="K60" s="51">
        <v>8.6999999999999993</v>
      </c>
      <c r="L60" s="51">
        <v>8.8000000000000007</v>
      </c>
      <c r="M60" s="43">
        <f t="shared" si="2"/>
        <v>4.8499999999999996</v>
      </c>
      <c r="N60" s="51">
        <v>1</v>
      </c>
      <c r="O60" s="51">
        <v>-3.1</v>
      </c>
      <c r="P60" s="51">
        <v>-1.2</v>
      </c>
      <c r="Q60" s="51">
        <v>3.2</v>
      </c>
      <c r="R60" s="51">
        <v>5.5</v>
      </c>
      <c r="S60" s="51">
        <v>7.3</v>
      </c>
      <c r="T60" s="51">
        <v>0.1</v>
      </c>
      <c r="U60" s="81">
        <v>1</v>
      </c>
      <c r="V60" s="72"/>
      <c r="W60" s="53">
        <v>8.8000000000000007</v>
      </c>
      <c r="X60" s="72">
        <v>8</v>
      </c>
      <c r="Y60" s="72">
        <v>1</v>
      </c>
      <c r="Z60" s="90" t="s">
        <v>89</v>
      </c>
      <c r="AA60" s="91">
        <v>13</v>
      </c>
      <c r="AB60" s="50">
        <v>9.1</v>
      </c>
    </row>
    <row r="61" spans="1:28" ht="14.5">
      <c r="A61" s="394">
        <f t="shared" si="1"/>
        <v>44984</v>
      </c>
      <c r="B61" s="61">
        <v>64.900000000000006</v>
      </c>
      <c r="C61" s="66">
        <v>30.33</v>
      </c>
      <c r="D61" s="53">
        <v>1027.09512</v>
      </c>
      <c r="E61" s="53">
        <v>1032.3</v>
      </c>
      <c r="F61" s="50">
        <v>93.260133255072304</v>
      </c>
      <c r="G61" s="85">
        <v>2.9113556459716889</v>
      </c>
      <c r="H61" s="61">
        <v>3.9</v>
      </c>
      <c r="I61" s="51">
        <v>3.9</v>
      </c>
      <c r="J61" s="51">
        <v>3.5</v>
      </c>
      <c r="K61" s="51">
        <v>7.5</v>
      </c>
      <c r="L61" s="51">
        <v>7.6</v>
      </c>
      <c r="M61" s="43">
        <f t="shared" si="2"/>
        <v>2.9</v>
      </c>
      <c r="N61" s="51">
        <v>-1.7</v>
      </c>
      <c r="O61" s="51">
        <v>-6.6</v>
      </c>
      <c r="P61" s="51">
        <v>-3.6</v>
      </c>
      <c r="Q61" s="51">
        <v>2.4</v>
      </c>
      <c r="R61" s="51">
        <v>5.0999999999999996</v>
      </c>
      <c r="S61" s="51">
        <v>7.2</v>
      </c>
      <c r="T61" s="51">
        <v>0.1</v>
      </c>
      <c r="U61" s="81">
        <v>1</v>
      </c>
      <c r="V61" s="72"/>
      <c r="W61" s="53">
        <v>1.1000000000000001</v>
      </c>
      <c r="X61" s="72">
        <v>7</v>
      </c>
      <c r="Y61" s="72">
        <v>8</v>
      </c>
      <c r="Z61" s="90" t="s">
        <v>82</v>
      </c>
      <c r="AA61" s="91">
        <v>6</v>
      </c>
      <c r="AB61" s="50">
        <v>4.2</v>
      </c>
    </row>
    <row r="62" spans="1:28" ht="14.5">
      <c r="A62" s="394">
        <f t="shared" si="1"/>
        <v>44985</v>
      </c>
      <c r="B62" s="61">
        <v>65.2</v>
      </c>
      <c r="C62" s="66">
        <v>30.388000000000002</v>
      </c>
      <c r="D62" s="53">
        <v>1029.0592320000001</v>
      </c>
      <c r="E62" s="53">
        <v>1034.5</v>
      </c>
      <c r="F62" s="50">
        <v>91.770383429202852</v>
      </c>
      <c r="G62" s="85">
        <v>3.1794128583200933</v>
      </c>
      <c r="H62" s="61">
        <v>4.4000000000000004</v>
      </c>
      <c r="I62" s="51">
        <v>4.5</v>
      </c>
      <c r="J62" s="51">
        <v>3.9</v>
      </c>
      <c r="K62" s="51">
        <v>8.4</v>
      </c>
      <c r="L62" s="51">
        <v>8.6</v>
      </c>
      <c r="M62" s="43">
        <f t="shared" si="2"/>
        <v>3.95</v>
      </c>
      <c r="N62" s="51">
        <v>-0.5</v>
      </c>
      <c r="O62" s="51">
        <v>-5.3</v>
      </c>
      <c r="P62" s="51">
        <v>-2.8</v>
      </c>
      <c r="Q62" s="51">
        <v>2.9</v>
      </c>
      <c r="R62" s="51">
        <v>4.5999999999999996</v>
      </c>
      <c r="S62" s="51">
        <v>7</v>
      </c>
      <c r="T62" s="51">
        <v>0.56000000000000005</v>
      </c>
      <c r="U62" s="81">
        <v>1</v>
      </c>
      <c r="V62" s="72"/>
      <c r="W62" s="53">
        <v>0.8</v>
      </c>
      <c r="X62" s="72">
        <v>8</v>
      </c>
      <c r="Y62" s="72">
        <v>6</v>
      </c>
      <c r="Z62" s="90" t="s">
        <v>82</v>
      </c>
      <c r="AA62" s="91">
        <v>8</v>
      </c>
      <c r="AB62" s="50">
        <v>5.6</v>
      </c>
    </row>
    <row r="63" spans="1:28" ht="14.5">
      <c r="A63" s="394">
        <f t="shared" si="1"/>
        <v>44986</v>
      </c>
      <c r="B63" s="380">
        <v>65.8</v>
      </c>
      <c r="C63" s="111">
        <v>30.308</v>
      </c>
      <c r="D63" s="128">
        <v>1026.3501119999999</v>
      </c>
      <c r="E63" s="112">
        <v>1031.4000000000001</v>
      </c>
      <c r="F63" s="113">
        <v>88.853972427018022</v>
      </c>
      <c r="G63" s="113">
        <v>3.4140664842883144</v>
      </c>
      <c r="H63" s="114">
        <v>5.0999999999999996</v>
      </c>
      <c r="I63" s="115">
        <v>5.0999999999999996</v>
      </c>
      <c r="J63" s="127">
        <v>4.4000000000000004</v>
      </c>
      <c r="K63" s="115">
        <v>8.4</v>
      </c>
      <c r="L63" s="115">
        <v>8.5</v>
      </c>
      <c r="M63" s="43">
        <f t="shared" si="2"/>
        <v>6.1</v>
      </c>
      <c r="N63" s="115">
        <v>3.8</v>
      </c>
      <c r="O63" s="116">
        <v>2.4</v>
      </c>
      <c r="P63" s="116">
        <v>-2.8</v>
      </c>
      <c r="Q63" s="115">
        <v>4.5999999999999996</v>
      </c>
      <c r="R63" s="115">
        <v>5.2</v>
      </c>
      <c r="S63" s="115">
        <v>6.9</v>
      </c>
      <c r="T63" s="117">
        <v>0.3</v>
      </c>
      <c r="U63" s="118">
        <v>1</v>
      </c>
      <c r="V63" s="119"/>
      <c r="W63" s="115">
        <v>2.1</v>
      </c>
      <c r="X63" s="118">
        <v>7</v>
      </c>
      <c r="Y63" s="118">
        <v>7</v>
      </c>
      <c r="Z63" s="120" t="s">
        <v>82</v>
      </c>
      <c r="AA63" s="121">
        <v>12</v>
      </c>
      <c r="AB63" s="122">
        <v>8.4</v>
      </c>
    </row>
    <row r="64" spans="1:28" ht="14.5">
      <c r="A64" s="394">
        <f t="shared" si="1"/>
        <v>44987</v>
      </c>
      <c r="B64" s="381">
        <v>66.8</v>
      </c>
      <c r="C64" s="123">
        <v>30.164000000000001</v>
      </c>
      <c r="D64" s="128">
        <v>1021.473696</v>
      </c>
      <c r="E64" s="117">
        <v>1026</v>
      </c>
      <c r="F64" s="113">
        <v>78.914890195118815</v>
      </c>
      <c r="G64" s="113">
        <v>1.1606461019112424</v>
      </c>
      <c r="H64" s="130">
        <v>4.5</v>
      </c>
      <c r="I64" s="127">
        <v>4.5</v>
      </c>
      <c r="J64" s="127">
        <v>3.2</v>
      </c>
      <c r="K64" s="127">
        <v>8.6</v>
      </c>
      <c r="L64" s="127">
        <v>8.6999999999999993</v>
      </c>
      <c r="M64" s="43">
        <f t="shared" si="2"/>
        <v>5.6999999999999993</v>
      </c>
      <c r="N64" s="127">
        <v>2.8</v>
      </c>
      <c r="O64" s="127">
        <v>-0.6</v>
      </c>
      <c r="P64" s="127">
        <v>1.2</v>
      </c>
      <c r="Q64" s="127">
        <v>4.7</v>
      </c>
      <c r="R64" s="127">
        <v>6.7</v>
      </c>
      <c r="S64" s="127">
        <v>6.9</v>
      </c>
      <c r="T64" s="128" t="s">
        <v>91</v>
      </c>
      <c r="U64" s="131">
        <v>1</v>
      </c>
      <c r="V64" s="119"/>
      <c r="W64" s="127">
        <v>7.5</v>
      </c>
      <c r="X64" s="131">
        <v>8</v>
      </c>
      <c r="Y64" s="131">
        <v>7</v>
      </c>
      <c r="Z64" s="133" t="s">
        <v>82</v>
      </c>
      <c r="AA64" s="134">
        <v>6</v>
      </c>
      <c r="AB64" s="122">
        <v>4.2</v>
      </c>
    </row>
    <row r="65" spans="1:28" ht="14.5">
      <c r="A65" s="394">
        <f t="shared" si="1"/>
        <v>44988</v>
      </c>
      <c r="B65" s="381">
        <v>64.8</v>
      </c>
      <c r="C65" s="124">
        <v>30.25</v>
      </c>
      <c r="D65" s="128">
        <v>1024.386</v>
      </c>
      <c r="E65" s="168">
        <v>1029.8</v>
      </c>
      <c r="F65" s="113">
        <v>77.119872741475717</v>
      </c>
      <c r="G65" s="113">
        <v>0.64681760020862322</v>
      </c>
      <c r="H65" s="130">
        <v>4.3</v>
      </c>
      <c r="I65" s="127">
        <v>4.4000000000000004</v>
      </c>
      <c r="J65" s="125">
        <v>2.9</v>
      </c>
      <c r="K65" s="127">
        <v>6</v>
      </c>
      <c r="L65" s="127">
        <v>6.2</v>
      </c>
      <c r="M65" s="43">
        <f t="shared" si="2"/>
        <v>4.9000000000000004</v>
      </c>
      <c r="N65" s="127">
        <v>3.8</v>
      </c>
      <c r="O65" s="127">
        <v>0</v>
      </c>
      <c r="P65" s="127">
        <v>2.2000000000000002</v>
      </c>
      <c r="Q65" s="127">
        <v>4.2</v>
      </c>
      <c r="R65" s="127">
        <v>5.7</v>
      </c>
      <c r="S65" s="127">
        <v>6.9</v>
      </c>
      <c r="T65" s="128" t="s">
        <v>93</v>
      </c>
      <c r="U65" s="131">
        <v>0</v>
      </c>
      <c r="V65" s="119"/>
      <c r="W65" s="127">
        <v>0</v>
      </c>
      <c r="X65" s="131">
        <v>8</v>
      </c>
      <c r="Y65" s="131">
        <v>8</v>
      </c>
      <c r="Z65" s="133" t="s">
        <v>82</v>
      </c>
      <c r="AA65" s="134">
        <v>8</v>
      </c>
      <c r="AB65" s="122">
        <v>5.6</v>
      </c>
    </row>
    <row r="66" spans="1:28" ht="14.5">
      <c r="A66" s="394">
        <f t="shared" si="1"/>
        <v>44989</v>
      </c>
      <c r="B66" s="381">
        <v>65.599999999999994</v>
      </c>
      <c r="C66" s="124">
        <v>30.248000000000001</v>
      </c>
      <c r="D66" s="128">
        <v>1024.318272</v>
      </c>
      <c r="E66" s="168">
        <v>1031.2</v>
      </c>
      <c r="F66" s="113">
        <v>71.117798676257507</v>
      </c>
      <c r="G66" s="113">
        <v>-0.18196734604844467</v>
      </c>
      <c r="H66" s="126">
        <v>4.5999999999999996</v>
      </c>
      <c r="I66" s="126">
        <v>4.7</v>
      </c>
      <c r="J66" s="128">
        <v>2.8</v>
      </c>
      <c r="K66" s="127">
        <v>5.7</v>
      </c>
      <c r="L66" s="127">
        <v>5.9</v>
      </c>
      <c r="M66" s="43">
        <f t="shared" si="2"/>
        <v>4.75</v>
      </c>
      <c r="N66" s="127">
        <v>3.8</v>
      </c>
      <c r="O66" s="127">
        <v>3.2</v>
      </c>
      <c r="P66" s="127">
        <v>3.8</v>
      </c>
      <c r="Q66" s="127">
        <v>4.5999999999999996</v>
      </c>
      <c r="R66" s="128">
        <v>5.7</v>
      </c>
      <c r="S66" s="127">
        <v>6.9</v>
      </c>
      <c r="T66" s="128" t="s">
        <v>93</v>
      </c>
      <c r="U66" s="125">
        <v>1</v>
      </c>
      <c r="V66" s="119"/>
      <c r="W66" s="127">
        <v>0</v>
      </c>
      <c r="X66" s="125">
        <v>8</v>
      </c>
      <c r="Y66" s="125">
        <v>8</v>
      </c>
      <c r="Z66" s="133" t="s">
        <v>82</v>
      </c>
      <c r="AA66" s="134">
        <v>5</v>
      </c>
      <c r="AB66" s="122">
        <v>3.5</v>
      </c>
    </row>
    <row r="67" spans="1:28" ht="14.5">
      <c r="A67" s="394">
        <f t="shared" si="1"/>
        <v>44990</v>
      </c>
      <c r="B67" s="130">
        <v>63.6</v>
      </c>
      <c r="C67" s="129">
        <v>29.956</v>
      </c>
      <c r="D67" s="128">
        <v>1014.4299839999999</v>
      </c>
      <c r="E67" s="168">
        <v>1022.4</v>
      </c>
      <c r="F67" s="122">
        <v>70.226611544615523</v>
      </c>
      <c r="G67" s="113">
        <v>-2.1804983710185546</v>
      </c>
      <c r="H67" s="130">
        <v>2.7</v>
      </c>
      <c r="I67" s="127">
        <v>2.8</v>
      </c>
      <c r="J67" s="127">
        <v>1</v>
      </c>
      <c r="K67" s="127">
        <v>5.3</v>
      </c>
      <c r="L67" s="127">
        <v>5.7</v>
      </c>
      <c r="M67" s="43">
        <f t="shared" si="2"/>
        <v>3.8499999999999996</v>
      </c>
      <c r="N67" s="127">
        <v>2.4</v>
      </c>
      <c r="O67" s="127">
        <v>2.1</v>
      </c>
      <c r="P67" s="127">
        <v>2.5</v>
      </c>
      <c r="Q67" s="127">
        <v>3.9</v>
      </c>
      <c r="R67" s="127">
        <v>5.5</v>
      </c>
      <c r="S67" s="127">
        <v>6.8</v>
      </c>
      <c r="T67" s="128" t="s">
        <v>91</v>
      </c>
      <c r="U67" s="131">
        <v>1</v>
      </c>
      <c r="V67" s="119"/>
      <c r="W67" s="127">
        <v>0.1</v>
      </c>
      <c r="X67" s="131">
        <v>8</v>
      </c>
      <c r="Y67" s="131">
        <v>8</v>
      </c>
      <c r="Z67" s="133" t="s">
        <v>82</v>
      </c>
      <c r="AA67" s="134">
        <v>5</v>
      </c>
      <c r="AB67" s="122">
        <v>3.5</v>
      </c>
    </row>
    <row r="68" spans="1:28" ht="14.5">
      <c r="A68" s="394">
        <f t="shared" si="1"/>
        <v>44991</v>
      </c>
      <c r="B68" s="130">
        <v>63</v>
      </c>
      <c r="C68" s="129">
        <v>29.576000000000001</v>
      </c>
      <c r="D68" s="128">
        <v>1001.561664</v>
      </c>
      <c r="E68" s="168">
        <v>1007.4</v>
      </c>
      <c r="F68" s="122">
        <v>89.043777281892361</v>
      </c>
      <c r="G68" s="113">
        <v>3.83899156171652</v>
      </c>
      <c r="H68" s="130">
        <v>5.5</v>
      </c>
      <c r="I68" s="127">
        <v>5.4</v>
      </c>
      <c r="J68" s="127">
        <v>4.8</v>
      </c>
      <c r="K68" s="127">
        <v>9.6999999999999993</v>
      </c>
      <c r="L68" s="127">
        <v>10.1</v>
      </c>
      <c r="M68" s="43">
        <f t="shared" ref="M68:M99" si="3">AVERAGE(K68,N68)</f>
        <v>5.1499999999999995</v>
      </c>
      <c r="N68" s="127">
        <v>0.6</v>
      </c>
      <c r="O68" s="127">
        <v>-3</v>
      </c>
      <c r="P68" s="127">
        <v>-0.6</v>
      </c>
      <c r="Q68" s="127">
        <v>3.9</v>
      </c>
      <c r="R68" s="127">
        <v>5.3</v>
      </c>
      <c r="S68" s="127">
        <v>6.8</v>
      </c>
      <c r="T68" s="128">
        <v>7.1</v>
      </c>
      <c r="U68" s="131">
        <v>1</v>
      </c>
      <c r="V68" s="119"/>
      <c r="W68" s="127">
        <v>0.7</v>
      </c>
      <c r="X68" s="131">
        <v>8</v>
      </c>
      <c r="Y68" s="131">
        <v>7</v>
      </c>
      <c r="Z68" s="133" t="s">
        <v>82</v>
      </c>
      <c r="AA68" s="134">
        <v>14</v>
      </c>
      <c r="AB68" s="122">
        <v>9.8000000000000007</v>
      </c>
    </row>
    <row r="69" spans="1:28" ht="14.5">
      <c r="A69" s="394">
        <f t="shared" si="1"/>
        <v>44992</v>
      </c>
      <c r="B69" s="130">
        <v>64.7</v>
      </c>
      <c r="C69" s="129">
        <v>29.372</v>
      </c>
      <c r="D69" s="128">
        <v>994.6534079999999</v>
      </c>
      <c r="E69" s="128">
        <v>999.4</v>
      </c>
      <c r="F69" s="122">
        <v>94.529863181345803</v>
      </c>
      <c r="G69" s="113">
        <v>1.4132471422382642</v>
      </c>
      <c r="H69" s="130">
        <v>2.2000000000000002</v>
      </c>
      <c r="I69" s="127">
        <v>2.1</v>
      </c>
      <c r="J69" s="127">
        <v>1.9</v>
      </c>
      <c r="K69" s="127">
        <v>5.5</v>
      </c>
      <c r="L69" s="127">
        <v>5.9</v>
      </c>
      <c r="M69" s="43">
        <f t="shared" si="3"/>
        <v>3.15</v>
      </c>
      <c r="N69" s="128">
        <v>0.8</v>
      </c>
      <c r="O69" s="127">
        <v>0.2</v>
      </c>
      <c r="P69" s="127">
        <v>0.7</v>
      </c>
      <c r="Q69" s="127">
        <v>4.0999999999999996</v>
      </c>
      <c r="R69" s="127">
        <v>5.6</v>
      </c>
      <c r="S69" s="127">
        <v>6.8</v>
      </c>
      <c r="T69" s="128">
        <v>1.5</v>
      </c>
      <c r="U69" s="131">
        <v>1</v>
      </c>
      <c r="V69" s="132"/>
      <c r="W69" s="127">
        <v>1.8</v>
      </c>
      <c r="X69" s="153">
        <v>8</v>
      </c>
      <c r="Y69" s="153">
        <v>8</v>
      </c>
      <c r="Z69" s="133" t="s">
        <v>82</v>
      </c>
      <c r="AA69" s="134">
        <v>4</v>
      </c>
      <c r="AB69" s="122">
        <v>2.8</v>
      </c>
    </row>
    <row r="70" spans="1:28" ht="14.5">
      <c r="A70" s="394">
        <f t="shared" ref="A70:A133" si="4">A69+1</f>
        <v>44993</v>
      </c>
      <c r="B70" s="130">
        <v>63.8</v>
      </c>
      <c r="C70" s="129">
        <v>29.13</v>
      </c>
      <c r="D70" s="128">
        <v>986.45831999999984</v>
      </c>
      <c r="E70" s="128">
        <v>991.5</v>
      </c>
      <c r="F70" s="122">
        <v>94.29150767546804</v>
      </c>
      <c r="G70" s="113">
        <v>0.48405673900738028</v>
      </c>
      <c r="H70" s="130">
        <v>1.3</v>
      </c>
      <c r="I70" s="127">
        <v>1.3</v>
      </c>
      <c r="J70" s="127">
        <v>1</v>
      </c>
      <c r="K70" s="127">
        <v>2.1</v>
      </c>
      <c r="L70" s="127">
        <v>2.5</v>
      </c>
      <c r="M70" s="43">
        <f t="shared" si="3"/>
        <v>1.25</v>
      </c>
      <c r="N70" s="127">
        <v>0.4</v>
      </c>
      <c r="O70" s="127">
        <v>-2.4</v>
      </c>
      <c r="P70" s="127">
        <v>-1</v>
      </c>
      <c r="Q70" s="127">
        <v>2.9</v>
      </c>
      <c r="R70" s="127">
        <v>5.2</v>
      </c>
      <c r="S70" s="127">
        <v>6.8</v>
      </c>
      <c r="T70" s="127">
        <v>11.5</v>
      </c>
      <c r="U70" s="131">
        <v>11</v>
      </c>
      <c r="V70" s="128"/>
      <c r="W70" s="128">
        <v>0</v>
      </c>
      <c r="X70" s="131">
        <v>6</v>
      </c>
      <c r="Y70" s="131">
        <v>8</v>
      </c>
      <c r="Z70" s="133" t="s">
        <v>96</v>
      </c>
      <c r="AA70" s="134">
        <v>15</v>
      </c>
      <c r="AB70" s="122">
        <v>10.5</v>
      </c>
    </row>
    <row r="71" spans="1:28" ht="14.5">
      <c r="A71" s="394">
        <f t="shared" si="4"/>
        <v>44994</v>
      </c>
      <c r="B71" s="130">
        <v>63.2</v>
      </c>
      <c r="C71" s="129">
        <v>29.175999999999998</v>
      </c>
      <c r="D71" s="128">
        <v>988.01606399999991</v>
      </c>
      <c r="E71" s="128">
        <v>993.3</v>
      </c>
      <c r="F71" s="122">
        <v>100</v>
      </c>
      <c r="G71" s="113">
        <v>2.2000000000000002</v>
      </c>
      <c r="H71" s="130">
        <v>2.2000000000000002</v>
      </c>
      <c r="I71" s="127">
        <v>2.2000000000000002</v>
      </c>
      <c r="J71" s="127">
        <v>2.2000000000000002</v>
      </c>
      <c r="K71" s="127">
        <v>6</v>
      </c>
      <c r="L71" s="116">
        <v>9.9</v>
      </c>
      <c r="M71" s="43">
        <f t="shared" si="3"/>
        <v>3.25</v>
      </c>
      <c r="N71" s="127">
        <v>0.5</v>
      </c>
      <c r="O71" s="127">
        <v>-0.1</v>
      </c>
      <c r="P71" s="127">
        <v>0</v>
      </c>
      <c r="Q71" s="127">
        <v>2.7</v>
      </c>
      <c r="R71" s="127">
        <v>4.5999999999999996</v>
      </c>
      <c r="S71" s="127">
        <v>6.7</v>
      </c>
      <c r="T71" s="128">
        <v>12.2</v>
      </c>
      <c r="U71" s="131">
        <v>1</v>
      </c>
      <c r="V71" s="135"/>
      <c r="W71" s="127">
        <v>0</v>
      </c>
      <c r="X71" s="131">
        <v>6</v>
      </c>
      <c r="Y71" s="131">
        <v>8</v>
      </c>
      <c r="Z71" s="133" t="s">
        <v>83</v>
      </c>
      <c r="AA71" s="134">
        <v>6</v>
      </c>
      <c r="AB71" s="122">
        <v>4.2</v>
      </c>
    </row>
    <row r="72" spans="1:28" ht="14.5">
      <c r="A72" s="394">
        <f t="shared" si="4"/>
        <v>44995</v>
      </c>
      <c r="B72" s="130">
        <v>64.8</v>
      </c>
      <c r="C72" s="129">
        <v>29.302</v>
      </c>
      <c r="D72" s="128">
        <v>992.28292799999986</v>
      </c>
      <c r="E72" s="128">
        <v>998.2</v>
      </c>
      <c r="F72" s="122">
        <v>92.505991376561539</v>
      </c>
      <c r="G72" s="113">
        <v>0.51720136701543529</v>
      </c>
      <c r="H72" s="130">
        <v>1.6</v>
      </c>
      <c r="I72" s="127">
        <v>1.6</v>
      </c>
      <c r="J72" s="127">
        <v>1.2</v>
      </c>
      <c r="K72" s="127">
        <v>5.0999999999999996</v>
      </c>
      <c r="L72" s="127">
        <v>5.4</v>
      </c>
      <c r="M72" s="43">
        <f t="shared" si="3"/>
        <v>3.15</v>
      </c>
      <c r="N72" s="127">
        <v>1.2</v>
      </c>
      <c r="O72" s="127">
        <v>0.9</v>
      </c>
      <c r="P72" s="127">
        <v>1.2</v>
      </c>
      <c r="Q72" s="127">
        <v>4.2</v>
      </c>
      <c r="R72" s="127">
        <v>5.0999999999999996</v>
      </c>
      <c r="S72" s="127">
        <v>6.6</v>
      </c>
      <c r="T72" s="127">
        <v>0.2</v>
      </c>
      <c r="U72" s="131">
        <v>1</v>
      </c>
      <c r="V72" s="135"/>
      <c r="W72" s="128">
        <v>1.5</v>
      </c>
      <c r="X72" s="131">
        <v>7</v>
      </c>
      <c r="Y72" s="131">
        <v>8</v>
      </c>
      <c r="Z72" s="133" t="s">
        <v>83</v>
      </c>
      <c r="AA72" s="134">
        <v>15</v>
      </c>
      <c r="AB72" s="122">
        <v>10.5</v>
      </c>
    </row>
    <row r="73" spans="1:28" ht="14.5">
      <c r="A73" s="394">
        <f t="shared" si="4"/>
        <v>44996</v>
      </c>
      <c r="B73" s="130">
        <v>68</v>
      </c>
      <c r="C73" s="124">
        <v>29.687999999999999</v>
      </c>
      <c r="D73" s="128">
        <v>1005.3544319999999</v>
      </c>
      <c r="E73" s="128">
        <v>1010.2</v>
      </c>
      <c r="F73" s="122">
        <v>79.561743737430973</v>
      </c>
      <c r="G73" s="113">
        <v>-1.551210474776465</v>
      </c>
      <c r="H73" s="130">
        <v>1.6</v>
      </c>
      <c r="I73" s="127">
        <v>1.7</v>
      </c>
      <c r="J73" s="127">
        <v>0.5</v>
      </c>
      <c r="K73" s="127">
        <v>9.5</v>
      </c>
      <c r="L73" s="127">
        <v>9.6999999999999993</v>
      </c>
      <c r="M73" s="43">
        <f t="shared" si="3"/>
        <v>3.45</v>
      </c>
      <c r="N73" s="127">
        <v>-2.6</v>
      </c>
      <c r="O73" s="127">
        <v>-3.8</v>
      </c>
      <c r="P73" s="127">
        <v>-3.8</v>
      </c>
      <c r="Q73" s="127">
        <v>2.5</v>
      </c>
      <c r="R73" s="127">
        <v>4.5999999999999996</v>
      </c>
      <c r="S73" s="127">
        <v>6.5</v>
      </c>
      <c r="T73" s="127">
        <v>1.6</v>
      </c>
      <c r="U73" s="131">
        <v>11</v>
      </c>
      <c r="V73" s="135"/>
      <c r="W73" s="127">
        <v>0.8</v>
      </c>
      <c r="X73" s="131">
        <v>8</v>
      </c>
      <c r="Y73" s="131">
        <v>7</v>
      </c>
      <c r="Z73" s="133" t="s">
        <v>82</v>
      </c>
      <c r="AA73" s="134">
        <v>0</v>
      </c>
      <c r="AB73" s="122">
        <v>0</v>
      </c>
    </row>
    <row r="74" spans="1:28" ht="14.5">
      <c r="A74" s="394">
        <f t="shared" si="4"/>
        <v>44997</v>
      </c>
      <c r="B74" s="130">
        <v>69.400000000000006</v>
      </c>
      <c r="C74" s="124">
        <v>29.58</v>
      </c>
      <c r="D74" s="128">
        <v>1001.6971199999998</v>
      </c>
      <c r="E74" s="128">
        <v>1008.8</v>
      </c>
      <c r="F74" s="122">
        <v>85.371545193753462</v>
      </c>
      <c r="G74" s="113">
        <v>7.0706600772137653</v>
      </c>
      <c r="H74" s="130">
        <v>9.4</v>
      </c>
      <c r="I74" s="127">
        <v>9.5</v>
      </c>
      <c r="J74" s="127">
        <v>8.3000000000000007</v>
      </c>
      <c r="K74" s="127">
        <v>13.3</v>
      </c>
      <c r="L74" s="127">
        <v>13.5</v>
      </c>
      <c r="M74" s="43">
        <f t="shared" si="3"/>
        <v>7.45</v>
      </c>
      <c r="N74" s="127">
        <v>1.6</v>
      </c>
      <c r="O74" s="127">
        <v>2.2000000000000002</v>
      </c>
      <c r="P74" s="127">
        <v>2</v>
      </c>
      <c r="Q74" s="127">
        <v>5.0999999999999996</v>
      </c>
      <c r="R74" s="127">
        <v>5.2</v>
      </c>
      <c r="S74" s="127">
        <v>6.5</v>
      </c>
      <c r="T74" s="127">
        <v>2.2000000000000002</v>
      </c>
      <c r="U74" s="131">
        <v>1</v>
      </c>
      <c r="V74" s="127"/>
      <c r="W74" s="127">
        <v>1.5</v>
      </c>
      <c r="X74" s="131">
        <v>8</v>
      </c>
      <c r="Y74" s="131">
        <v>6</v>
      </c>
      <c r="Z74" s="133" t="s">
        <v>87</v>
      </c>
      <c r="AA74" s="134">
        <v>12</v>
      </c>
      <c r="AB74" s="122">
        <v>8.4</v>
      </c>
    </row>
    <row r="75" spans="1:28" ht="14.5">
      <c r="A75" s="394">
        <f t="shared" si="4"/>
        <v>44998</v>
      </c>
      <c r="B75" s="130">
        <v>69.2</v>
      </c>
      <c r="C75" s="124">
        <v>29.045999999999999</v>
      </c>
      <c r="D75" s="128">
        <v>983.61374399999988</v>
      </c>
      <c r="E75" s="128">
        <v>990</v>
      </c>
      <c r="F75" s="122">
        <v>69.904755803607273</v>
      </c>
      <c r="G75" s="113">
        <v>7.2561656293360555</v>
      </c>
      <c r="H75" s="130">
        <v>12.6</v>
      </c>
      <c r="I75" s="116">
        <v>23.7</v>
      </c>
      <c r="J75" s="127">
        <v>10</v>
      </c>
      <c r="K75" s="127">
        <v>14.2</v>
      </c>
      <c r="L75" s="127">
        <v>14.6</v>
      </c>
      <c r="M75" s="43">
        <f t="shared" si="3"/>
        <v>11.8</v>
      </c>
      <c r="N75" s="127">
        <v>9.4</v>
      </c>
      <c r="O75" s="127">
        <v>9.5</v>
      </c>
      <c r="P75" s="127">
        <v>9</v>
      </c>
      <c r="Q75" s="127">
        <v>8.1999999999999993</v>
      </c>
      <c r="R75" s="127">
        <v>6.9</v>
      </c>
      <c r="S75" s="127">
        <v>6.5</v>
      </c>
      <c r="T75" s="127">
        <v>1.2</v>
      </c>
      <c r="U75" s="131">
        <v>1</v>
      </c>
      <c r="V75" s="119"/>
      <c r="W75" s="127">
        <v>3.5</v>
      </c>
      <c r="X75" s="131">
        <v>8</v>
      </c>
      <c r="Y75" s="131">
        <v>8</v>
      </c>
      <c r="Z75" s="133" t="s">
        <v>82</v>
      </c>
      <c r="AA75" s="134">
        <v>26</v>
      </c>
      <c r="AB75" s="122">
        <v>18.2</v>
      </c>
    </row>
    <row r="76" spans="1:28" ht="14.5">
      <c r="A76" s="394">
        <f t="shared" si="4"/>
        <v>44999</v>
      </c>
      <c r="B76" s="130">
        <v>71.400000000000006</v>
      </c>
      <c r="C76" s="124">
        <v>29.446000000000002</v>
      </c>
      <c r="D76" s="128">
        <v>997.15934399999992</v>
      </c>
      <c r="E76" s="128">
        <v>1003.5</v>
      </c>
      <c r="F76" s="122">
        <v>86.467804287143082</v>
      </c>
      <c r="G76" s="113">
        <v>1.6521075122141895</v>
      </c>
      <c r="H76" s="130">
        <v>3.7</v>
      </c>
      <c r="I76" s="127">
        <v>3.7</v>
      </c>
      <c r="J76" s="127">
        <v>2.9</v>
      </c>
      <c r="K76" s="127">
        <v>10.1</v>
      </c>
      <c r="L76" s="127">
        <v>10.6</v>
      </c>
      <c r="M76" s="43">
        <f t="shared" si="3"/>
        <v>6.85</v>
      </c>
      <c r="N76" s="127">
        <v>3.6</v>
      </c>
      <c r="O76" s="127">
        <v>1.3</v>
      </c>
      <c r="P76" s="127">
        <v>2.2999999999999998</v>
      </c>
      <c r="Q76" s="127">
        <v>6.1</v>
      </c>
      <c r="R76" s="127">
        <v>7.3</v>
      </c>
      <c r="S76" s="127">
        <v>6.6</v>
      </c>
      <c r="T76" s="127">
        <v>2.2000000000000002</v>
      </c>
      <c r="U76" s="131">
        <v>1</v>
      </c>
      <c r="V76" s="119"/>
      <c r="W76" s="127">
        <v>5.7</v>
      </c>
      <c r="X76" s="131">
        <v>8</v>
      </c>
      <c r="Y76" s="131">
        <v>8</v>
      </c>
      <c r="Z76" s="133" t="s">
        <v>97</v>
      </c>
      <c r="AA76" s="134">
        <v>7</v>
      </c>
      <c r="AB76" s="122">
        <v>4.9000000000000004</v>
      </c>
    </row>
    <row r="77" spans="1:28" ht="14.5">
      <c r="A77" s="394">
        <f t="shared" si="4"/>
        <v>45000</v>
      </c>
      <c r="B77" s="138">
        <v>70.2</v>
      </c>
      <c r="C77" s="137">
        <v>29.873999999999999</v>
      </c>
      <c r="D77" s="128">
        <v>1011.6531359999999</v>
      </c>
      <c r="E77" s="128">
        <v>1016.4</v>
      </c>
      <c r="F77" s="122">
        <v>86.220478809151231</v>
      </c>
      <c r="G77" s="113">
        <v>1.2188267568316362</v>
      </c>
      <c r="H77" s="138">
        <v>3.3</v>
      </c>
      <c r="I77" s="136">
        <v>3.3</v>
      </c>
      <c r="J77" s="136">
        <v>2.5</v>
      </c>
      <c r="K77" s="136">
        <v>10.3</v>
      </c>
      <c r="L77" s="136">
        <v>10.6</v>
      </c>
      <c r="M77" s="43">
        <f t="shared" si="3"/>
        <v>4.95</v>
      </c>
      <c r="N77" s="136">
        <v>-0.4</v>
      </c>
      <c r="O77" s="136">
        <v>-4.2</v>
      </c>
      <c r="P77" s="136">
        <v>-1.8</v>
      </c>
      <c r="Q77" s="136">
        <v>3.9</v>
      </c>
      <c r="R77" s="136">
        <v>6.7</v>
      </c>
      <c r="S77" s="136">
        <v>6.9</v>
      </c>
      <c r="T77" s="136">
        <v>7.6</v>
      </c>
      <c r="U77" s="139">
        <v>1</v>
      </c>
      <c r="V77" s="140"/>
      <c r="W77" s="136">
        <v>0</v>
      </c>
      <c r="X77" s="139">
        <v>8</v>
      </c>
      <c r="Y77" s="139">
        <v>8</v>
      </c>
      <c r="Z77" s="141" t="s">
        <v>82</v>
      </c>
      <c r="AA77" s="142">
        <v>5</v>
      </c>
      <c r="AB77" s="122">
        <v>3.5</v>
      </c>
    </row>
    <row r="78" spans="1:28" ht="14.5">
      <c r="A78" s="394">
        <f t="shared" si="4"/>
        <v>45001</v>
      </c>
      <c r="B78" s="130">
        <v>72.099999999999994</v>
      </c>
      <c r="C78" s="124">
        <v>29.562000000000001</v>
      </c>
      <c r="D78" s="128">
        <v>1001.0875679999999</v>
      </c>
      <c r="E78" s="128">
        <v>1005.6</v>
      </c>
      <c r="F78" s="122">
        <v>80.898887954484039</v>
      </c>
      <c r="G78" s="113">
        <v>7.2633513642145742</v>
      </c>
      <c r="H78" s="130">
        <v>10.4</v>
      </c>
      <c r="I78" s="127">
        <v>10.3</v>
      </c>
      <c r="J78" s="127">
        <v>8.9</v>
      </c>
      <c r="K78" s="136">
        <v>13.8</v>
      </c>
      <c r="L78" s="136">
        <v>14</v>
      </c>
      <c r="M78" s="43">
        <f t="shared" si="3"/>
        <v>8.5500000000000007</v>
      </c>
      <c r="N78" s="169">
        <v>3.3</v>
      </c>
      <c r="O78" s="116">
        <v>4.4000000000000004</v>
      </c>
      <c r="P78" s="116">
        <v>4.9000000000000004</v>
      </c>
      <c r="Q78" s="127">
        <v>7.3</v>
      </c>
      <c r="R78" s="127">
        <v>6.8</v>
      </c>
      <c r="S78" s="127">
        <v>7</v>
      </c>
      <c r="T78" s="136">
        <v>0.4</v>
      </c>
      <c r="U78" s="131">
        <v>1</v>
      </c>
      <c r="V78" s="119"/>
      <c r="W78" s="136">
        <v>0.8</v>
      </c>
      <c r="X78" s="131">
        <v>8</v>
      </c>
      <c r="Y78" s="131">
        <v>8</v>
      </c>
      <c r="Z78" s="133" t="s">
        <v>82</v>
      </c>
      <c r="AA78" s="127">
        <v>17</v>
      </c>
      <c r="AB78" s="122">
        <v>11.9</v>
      </c>
    </row>
    <row r="79" spans="1:28" ht="14.5">
      <c r="A79" s="394">
        <f t="shared" si="4"/>
        <v>45002</v>
      </c>
      <c r="B79" s="138">
        <v>73.3</v>
      </c>
      <c r="C79" s="137">
        <v>29.504000000000001</v>
      </c>
      <c r="D79" s="128">
        <v>999.12345599999992</v>
      </c>
      <c r="E79" s="128">
        <v>1003.9</v>
      </c>
      <c r="F79" s="122">
        <v>88.769222744578656</v>
      </c>
      <c r="G79" s="113">
        <v>9.4164212861363854</v>
      </c>
      <c r="H79" s="138">
        <v>11.2</v>
      </c>
      <c r="I79" s="136">
        <v>11.2</v>
      </c>
      <c r="J79" s="142">
        <v>10.3</v>
      </c>
      <c r="K79" s="127">
        <v>15.3</v>
      </c>
      <c r="L79" s="127">
        <v>15.6</v>
      </c>
      <c r="M79" s="43">
        <f t="shared" si="3"/>
        <v>12.55</v>
      </c>
      <c r="N79" s="138">
        <v>9.8000000000000007</v>
      </c>
      <c r="O79" s="136">
        <v>7.5</v>
      </c>
      <c r="P79" s="136">
        <v>8.1999999999999993</v>
      </c>
      <c r="Q79" s="136">
        <v>8.6</v>
      </c>
      <c r="R79" s="136">
        <v>8</v>
      </c>
      <c r="S79" s="142">
        <v>7.1</v>
      </c>
      <c r="T79" s="127">
        <v>0.3</v>
      </c>
      <c r="U79" s="143">
        <v>1</v>
      </c>
      <c r="V79" s="119"/>
      <c r="W79" s="127">
        <v>2.4</v>
      </c>
      <c r="X79" s="144">
        <v>8</v>
      </c>
      <c r="Y79" s="139">
        <v>7</v>
      </c>
      <c r="Z79" s="141" t="s">
        <v>87</v>
      </c>
      <c r="AA79" s="142">
        <v>10</v>
      </c>
      <c r="AB79" s="122">
        <v>7</v>
      </c>
    </row>
    <row r="80" spans="1:28" ht="14.5">
      <c r="A80" s="394">
        <f t="shared" si="4"/>
        <v>45003</v>
      </c>
      <c r="B80" s="130">
        <v>74</v>
      </c>
      <c r="C80" s="124">
        <v>29.501999999999999</v>
      </c>
      <c r="D80" s="128">
        <v>999.05572799999993</v>
      </c>
      <c r="E80" s="128">
        <v>1005.8</v>
      </c>
      <c r="F80" s="122">
        <v>87.218899565212027</v>
      </c>
      <c r="G80" s="113">
        <v>8.4659358864686869</v>
      </c>
      <c r="H80" s="138">
        <v>10.5</v>
      </c>
      <c r="I80" s="136">
        <v>10.6</v>
      </c>
      <c r="J80" s="136">
        <v>9.5</v>
      </c>
      <c r="K80" s="145">
        <v>14.4</v>
      </c>
      <c r="L80" s="145">
        <v>14.6</v>
      </c>
      <c r="M80" s="43">
        <f t="shared" si="3"/>
        <v>12.15</v>
      </c>
      <c r="N80" s="136">
        <v>9.9</v>
      </c>
      <c r="O80" s="136">
        <v>8.4</v>
      </c>
      <c r="P80" s="136">
        <v>8.3000000000000007</v>
      </c>
      <c r="Q80" s="136">
        <v>9.1999999999999993</v>
      </c>
      <c r="R80" s="136">
        <v>8.6999999999999993</v>
      </c>
      <c r="S80" s="142">
        <v>7.3</v>
      </c>
      <c r="T80" s="127">
        <v>2.2000000000000002</v>
      </c>
      <c r="U80" s="146">
        <v>1</v>
      </c>
      <c r="V80" s="147"/>
      <c r="W80" s="145">
        <v>2</v>
      </c>
      <c r="X80" s="139">
        <v>8</v>
      </c>
      <c r="Y80" s="139">
        <v>8</v>
      </c>
      <c r="Z80" s="141" t="s">
        <v>82</v>
      </c>
      <c r="AA80" s="136">
        <v>0</v>
      </c>
      <c r="AB80" s="148">
        <v>0</v>
      </c>
    </row>
    <row r="81" spans="1:28" ht="14.5">
      <c r="A81" s="394">
        <f t="shared" si="4"/>
        <v>45004</v>
      </c>
      <c r="B81" s="138">
        <v>75</v>
      </c>
      <c r="C81" s="137">
        <v>29.872</v>
      </c>
      <c r="D81" s="128">
        <v>1011.5854079999999</v>
      </c>
      <c r="E81" s="128">
        <v>1015.5</v>
      </c>
      <c r="F81" s="122">
        <v>75.647153538225353</v>
      </c>
      <c r="G81" s="149">
        <v>3.2852721431053373</v>
      </c>
      <c r="H81" s="130">
        <v>7.3</v>
      </c>
      <c r="I81" s="127">
        <v>7.3</v>
      </c>
      <c r="J81" s="127">
        <v>5.6</v>
      </c>
      <c r="K81" s="128">
        <v>11.4</v>
      </c>
      <c r="L81" s="125">
        <v>11.6</v>
      </c>
      <c r="M81" s="43">
        <f t="shared" si="3"/>
        <v>7.65</v>
      </c>
      <c r="N81" s="127">
        <v>3.9</v>
      </c>
      <c r="O81" s="127">
        <v>0</v>
      </c>
      <c r="P81" s="127">
        <v>2</v>
      </c>
      <c r="Q81" s="127">
        <v>7.2</v>
      </c>
      <c r="R81" s="127">
        <v>8.9</v>
      </c>
      <c r="S81" s="127">
        <v>7.5</v>
      </c>
      <c r="T81" s="150">
        <v>0.2</v>
      </c>
      <c r="U81" s="131">
        <v>1</v>
      </c>
      <c r="V81" s="119"/>
      <c r="W81" s="127">
        <v>1.5</v>
      </c>
      <c r="X81" s="131">
        <v>8</v>
      </c>
      <c r="Y81" s="131">
        <v>8</v>
      </c>
      <c r="Z81" s="133" t="s">
        <v>82</v>
      </c>
      <c r="AA81" s="127">
        <v>8</v>
      </c>
      <c r="AB81" s="122">
        <v>5.6</v>
      </c>
    </row>
    <row r="82" spans="1:28" ht="14.5">
      <c r="A82" s="394">
        <f t="shared" si="4"/>
        <v>45005</v>
      </c>
      <c r="B82" s="382">
        <v>74.3</v>
      </c>
      <c r="C82" s="151">
        <v>29.87</v>
      </c>
      <c r="D82" s="128">
        <v>1011.5176799999999</v>
      </c>
      <c r="E82" s="128">
        <v>1015.3</v>
      </c>
      <c r="F82" s="122">
        <v>91.078670715355983</v>
      </c>
      <c r="G82" s="152">
        <v>9.3043139570401987</v>
      </c>
      <c r="H82" s="126">
        <v>10.7</v>
      </c>
      <c r="I82" s="125">
        <v>10.8</v>
      </c>
      <c r="J82" s="125">
        <v>10</v>
      </c>
      <c r="K82" s="127">
        <v>13.2</v>
      </c>
      <c r="L82" s="127">
        <v>13.4</v>
      </c>
      <c r="M82" s="43">
        <f t="shared" si="3"/>
        <v>10.199999999999999</v>
      </c>
      <c r="N82" s="125">
        <v>7.2</v>
      </c>
      <c r="O82" s="125">
        <v>5.5</v>
      </c>
      <c r="P82" s="125">
        <v>6.8</v>
      </c>
      <c r="Q82" s="128">
        <v>8.1999999999999993</v>
      </c>
      <c r="R82" s="125">
        <v>8.5</v>
      </c>
      <c r="S82" s="128">
        <v>7.7</v>
      </c>
      <c r="T82" s="127">
        <v>1.9</v>
      </c>
      <c r="U82" s="153">
        <v>1</v>
      </c>
      <c r="V82" s="135"/>
      <c r="W82" s="127">
        <v>0</v>
      </c>
      <c r="X82" s="125">
        <v>8</v>
      </c>
      <c r="Y82" s="125">
        <v>8</v>
      </c>
      <c r="Z82" s="154" t="s">
        <v>82</v>
      </c>
      <c r="AA82" s="128">
        <v>11</v>
      </c>
      <c r="AB82" s="155">
        <v>7.7</v>
      </c>
    </row>
    <row r="83" spans="1:28" ht="14.5">
      <c r="A83" s="394">
        <f t="shared" si="4"/>
        <v>45006</v>
      </c>
      <c r="B83" s="159">
        <v>74.2</v>
      </c>
      <c r="C83" s="157">
        <v>29.638000000000002</v>
      </c>
      <c r="D83" s="128">
        <v>1003.6612319999999</v>
      </c>
      <c r="E83" s="127">
        <v>1008.9</v>
      </c>
      <c r="F83" s="158">
        <v>88.769222744578656</v>
      </c>
      <c r="G83" s="122">
        <v>9.4164212861363854</v>
      </c>
      <c r="H83" s="159">
        <v>11.2</v>
      </c>
      <c r="I83" s="156">
        <v>11.2</v>
      </c>
      <c r="J83" s="156">
        <v>10.3</v>
      </c>
      <c r="K83" s="127">
        <v>15.1</v>
      </c>
      <c r="L83" s="156">
        <v>15.2</v>
      </c>
      <c r="M83" s="43">
        <f t="shared" si="3"/>
        <v>12.1</v>
      </c>
      <c r="N83" s="156">
        <v>9.1</v>
      </c>
      <c r="O83" s="156">
        <v>7.4</v>
      </c>
      <c r="P83" s="156">
        <v>8</v>
      </c>
      <c r="Q83" s="160">
        <v>9.1</v>
      </c>
      <c r="R83" s="156">
        <v>9</v>
      </c>
      <c r="S83" s="156">
        <v>7.8</v>
      </c>
      <c r="T83" s="156">
        <v>7.2</v>
      </c>
      <c r="U83" s="161">
        <v>1</v>
      </c>
      <c r="V83" s="162"/>
      <c r="W83" s="160">
        <v>4.5</v>
      </c>
      <c r="X83" s="163">
        <v>8</v>
      </c>
      <c r="Y83" s="163">
        <v>8</v>
      </c>
      <c r="Z83" s="164" t="s">
        <v>85</v>
      </c>
      <c r="AA83" s="165">
        <v>14</v>
      </c>
      <c r="AB83" s="166">
        <v>9.8000000000000007</v>
      </c>
    </row>
    <row r="84" spans="1:28" ht="14.5">
      <c r="A84" s="394">
        <f t="shared" si="4"/>
        <v>45007</v>
      </c>
      <c r="B84" s="130">
        <v>74.2</v>
      </c>
      <c r="C84" s="124">
        <v>29.347999999999999</v>
      </c>
      <c r="D84" s="128">
        <v>993.84067199999993</v>
      </c>
      <c r="E84" s="128">
        <v>1000.9</v>
      </c>
      <c r="F84" s="122">
        <v>76.471711886308952</v>
      </c>
      <c r="G84" s="167">
        <v>7.0249567966064568</v>
      </c>
      <c r="H84" s="130">
        <v>11</v>
      </c>
      <c r="I84" s="127">
        <v>11</v>
      </c>
      <c r="J84" s="127">
        <v>9.1</v>
      </c>
      <c r="K84" s="110">
        <v>15.9</v>
      </c>
      <c r="L84" s="127">
        <v>15.9</v>
      </c>
      <c r="M84" s="43">
        <f t="shared" si="3"/>
        <v>12.95</v>
      </c>
      <c r="N84" s="127">
        <v>10</v>
      </c>
      <c r="O84" s="127">
        <v>7.9</v>
      </c>
      <c r="P84" s="127">
        <v>9.1</v>
      </c>
      <c r="Q84" s="127">
        <v>9.8000000000000007</v>
      </c>
      <c r="R84" s="127">
        <v>9.5</v>
      </c>
      <c r="S84" s="127">
        <v>8</v>
      </c>
      <c r="T84" s="127">
        <v>12.2</v>
      </c>
      <c r="U84" s="153">
        <v>1</v>
      </c>
      <c r="V84" s="131"/>
      <c r="W84" s="128">
        <v>4.0999999999999996</v>
      </c>
      <c r="X84" s="153">
        <v>8</v>
      </c>
      <c r="Y84" s="153">
        <v>6</v>
      </c>
      <c r="Z84" s="133" t="s">
        <v>82</v>
      </c>
      <c r="AA84" s="134">
        <v>11</v>
      </c>
      <c r="AB84" s="122">
        <v>7.7</v>
      </c>
    </row>
    <row r="85" spans="1:28" ht="14.5">
      <c r="A85" s="394">
        <f t="shared" si="4"/>
        <v>45008</v>
      </c>
      <c r="B85" s="130">
        <v>74.2</v>
      </c>
      <c r="C85" s="124">
        <v>29.308</v>
      </c>
      <c r="D85" s="128">
        <v>992.48611199999993</v>
      </c>
      <c r="E85" s="128">
        <v>998.5</v>
      </c>
      <c r="F85" s="122">
        <v>68.240225839737391</v>
      </c>
      <c r="G85" s="113">
        <v>6.4264424469333772</v>
      </c>
      <c r="H85" s="130">
        <v>12.1</v>
      </c>
      <c r="I85" s="127">
        <v>12.2</v>
      </c>
      <c r="J85" s="127">
        <v>9.4</v>
      </c>
      <c r="K85" s="127">
        <v>14.6</v>
      </c>
      <c r="L85" s="127">
        <v>14.6</v>
      </c>
      <c r="M85" s="43">
        <f t="shared" si="3"/>
        <v>10.9</v>
      </c>
      <c r="N85" s="127">
        <v>7.2</v>
      </c>
      <c r="O85" s="127">
        <v>5.2</v>
      </c>
      <c r="P85" s="127">
        <v>4.9000000000000004</v>
      </c>
      <c r="Q85" s="127">
        <v>8.3000000000000007</v>
      </c>
      <c r="R85" s="127">
        <v>9.6</v>
      </c>
      <c r="S85" s="127">
        <v>8.1999999999999993</v>
      </c>
      <c r="T85" s="128">
        <v>5.6</v>
      </c>
      <c r="U85" s="153">
        <v>1</v>
      </c>
      <c r="V85" s="131"/>
      <c r="W85" s="127">
        <v>5.5</v>
      </c>
      <c r="X85" s="131">
        <v>8</v>
      </c>
      <c r="Y85" s="131">
        <v>6</v>
      </c>
      <c r="Z85" s="133" t="s">
        <v>82</v>
      </c>
      <c r="AA85" s="134">
        <v>20</v>
      </c>
      <c r="AB85" s="122">
        <v>14</v>
      </c>
    </row>
    <row r="86" spans="1:28" ht="14.5">
      <c r="A86" s="394">
        <f t="shared" si="4"/>
        <v>45009</v>
      </c>
      <c r="B86" s="130">
        <v>73.2</v>
      </c>
      <c r="C86" s="124">
        <v>29.327999999999999</v>
      </c>
      <c r="D86" s="128">
        <v>993.16339199999993</v>
      </c>
      <c r="E86" s="128">
        <v>999.2</v>
      </c>
      <c r="F86" s="122">
        <v>59.457405837932065</v>
      </c>
      <c r="G86" s="113">
        <v>4.536297762538581</v>
      </c>
      <c r="H86" s="130">
        <v>12.2</v>
      </c>
      <c r="I86" s="127">
        <v>12</v>
      </c>
      <c r="J86" s="127">
        <v>8.6999999999999993</v>
      </c>
      <c r="K86" s="127">
        <v>13.8</v>
      </c>
      <c r="L86" s="127">
        <v>13.8</v>
      </c>
      <c r="M86" s="43">
        <f t="shared" si="3"/>
        <v>10.199999999999999</v>
      </c>
      <c r="N86" s="127">
        <v>6.6</v>
      </c>
      <c r="O86" s="127">
        <v>4.2</v>
      </c>
      <c r="P86" s="127">
        <v>4.5</v>
      </c>
      <c r="Q86" s="127">
        <v>8.1999999999999993</v>
      </c>
      <c r="R86" s="127">
        <v>9.4</v>
      </c>
      <c r="S86" s="127">
        <v>8.4</v>
      </c>
      <c r="T86" s="128">
        <v>8</v>
      </c>
      <c r="U86" s="153">
        <v>1</v>
      </c>
      <c r="V86" s="131"/>
      <c r="W86" s="127">
        <v>4.9000000000000004</v>
      </c>
      <c r="X86" s="131">
        <v>8</v>
      </c>
      <c r="Y86" s="131">
        <v>7</v>
      </c>
      <c r="Z86" s="133" t="s">
        <v>82</v>
      </c>
      <c r="AA86" s="134">
        <v>18</v>
      </c>
      <c r="AB86" s="122">
        <v>12.600000000000001</v>
      </c>
    </row>
    <row r="87" spans="1:28" ht="14.5">
      <c r="A87" s="394">
        <f t="shared" si="4"/>
        <v>45010</v>
      </c>
      <c r="B87" s="130">
        <v>74.2</v>
      </c>
      <c r="C87" s="124">
        <v>29.49</v>
      </c>
      <c r="D87" s="128">
        <v>998.64935999999989</v>
      </c>
      <c r="E87" s="128">
        <v>1004.2</v>
      </c>
      <c r="F87" s="122">
        <v>61.116362563772</v>
      </c>
      <c r="G87" s="113">
        <v>3.7975250556944529</v>
      </c>
      <c r="H87" s="130">
        <v>11</v>
      </c>
      <c r="I87" s="127">
        <v>11</v>
      </c>
      <c r="J87" s="127">
        <v>7.8</v>
      </c>
      <c r="K87" s="127">
        <v>14.4</v>
      </c>
      <c r="L87" s="127">
        <v>14.5</v>
      </c>
      <c r="M87" s="43">
        <f t="shared" si="3"/>
        <v>10.95</v>
      </c>
      <c r="N87" s="127">
        <v>7.5</v>
      </c>
      <c r="O87" s="127">
        <v>4.8</v>
      </c>
      <c r="P87" s="127">
        <v>5.6</v>
      </c>
      <c r="Q87" s="127">
        <v>8.5</v>
      </c>
      <c r="R87" s="127">
        <v>9.4</v>
      </c>
      <c r="S87" s="127">
        <v>8.5</v>
      </c>
      <c r="T87" s="127">
        <v>10.4</v>
      </c>
      <c r="U87" s="153">
        <v>1</v>
      </c>
      <c r="V87" s="131"/>
      <c r="W87" s="128">
        <v>6.7</v>
      </c>
      <c r="X87" s="131">
        <v>8</v>
      </c>
      <c r="Y87" s="131">
        <v>6</v>
      </c>
      <c r="Z87" s="133" t="s">
        <v>82</v>
      </c>
      <c r="AA87" s="134">
        <v>18</v>
      </c>
      <c r="AB87" s="122">
        <v>12.600000000000001</v>
      </c>
    </row>
    <row r="88" spans="1:28" ht="14.5">
      <c r="A88" s="394">
        <f t="shared" si="4"/>
        <v>45011</v>
      </c>
      <c r="B88" s="130">
        <v>74.599999999999994</v>
      </c>
      <c r="C88" s="124">
        <v>29.45</v>
      </c>
      <c r="D88" s="128">
        <v>997.2947999999999</v>
      </c>
      <c r="E88" s="128">
        <v>1004.3</v>
      </c>
      <c r="F88" s="122">
        <v>95.618583107424286</v>
      </c>
      <c r="G88" s="113">
        <v>6.6467281456368061</v>
      </c>
      <c r="H88" s="130">
        <v>7.3</v>
      </c>
      <c r="I88" s="127">
        <v>7.4</v>
      </c>
      <c r="J88" s="127">
        <v>7</v>
      </c>
      <c r="K88" s="127">
        <v>8.8000000000000007</v>
      </c>
      <c r="L88" s="127">
        <v>8.9</v>
      </c>
      <c r="M88" s="43">
        <f t="shared" si="3"/>
        <v>7.6000000000000005</v>
      </c>
      <c r="N88" s="127">
        <v>6.4</v>
      </c>
      <c r="O88" s="127">
        <v>5.4</v>
      </c>
      <c r="P88" s="127">
        <v>6.8</v>
      </c>
      <c r="Q88" s="127">
        <v>8.6999999999999993</v>
      </c>
      <c r="R88" s="127">
        <v>9.5</v>
      </c>
      <c r="S88" s="127">
        <v>8.5</v>
      </c>
      <c r="T88" s="127">
        <v>0.3</v>
      </c>
      <c r="U88" s="153">
        <v>1</v>
      </c>
      <c r="V88" s="131"/>
      <c r="W88" s="128">
        <v>0</v>
      </c>
      <c r="X88" s="131">
        <v>7</v>
      </c>
      <c r="Y88" s="131">
        <v>8</v>
      </c>
      <c r="Z88" s="133" t="s">
        <v>88</v>
      </c>
      <c r="AA88" s="134">
        <v>6</v>
      </c>
      <c r="AB88" s="122">
        <v>4.2</v>
      </c>
    </row>
    <row r="89" spans="1:28" ht="14.5">
      <c r="A89" s="394">
        <f t="shared" si="4"/>
        <v>45012</v>
      </c>
      <c r="B89" s="130">
        <v>73.8</v>
      </c>
      <c r="C89" s="124">
        <v>30.11</v>
      </c>
      <c r="D89" s="128">
        <v>1019.6450399999999</v>
      </c>
      <c r="E89" s="128">
        <v>1025.2</v>
      </c>
      <c r="F89" s="122">
        <v>60.478202578497253</v>
      </c>
      <c r="G89" s="113">
        <v>0.15762604809865541</v>
      </c>
      <c r="H89" s="130">
        <v>7.3</v>
      </c>
      <c r="I89" s="127">
        <v>7.4</v>
      </c>
      <c r="J89" s="127">
        <v>4.5</v>
      </c>
      <c r="K89" s="127">
        <v>11.1</v>
      </c>
      <c r="L89" s="127">
        <v>11.2</v>
      </c>
      <c r="M89" s="43">
        <f t="shared" si="3"/>
        <v>7.35</v>
      </c>
      <c r="N89" s="127">
        <v>3.6</v>
      </c>
      <c r="O89" s="127">
        <v>1.3</v>
      </c>
      <c r="P89" s="127">
        <v>3.1</v>
      </c>
      <c r="Q89" s="127">
        <v>7</v>
      </c>
      <c r="R89" s="127">
        <v>9</v>
      </c>
      <c r="S89" s="127">
        <v>8.6999999999999993</v>
      </c>
      <c r="T89" s="127">
        <v>0.5</v>
      </c>
      <c r="U89" s="153">
        <v>1</v>
      </c>
      <c r="V89" s="131"/>
      <c r="W89" s="128">
        <v>8.3000000000000007</v>
      </c>
      <c r="X89" s="131">
        <v>8</v>
      </c>
      <c r="Y89" s="131">
        <v>1</v>
      </c>
      <c r="Z89" s="133" t="s">
        <v>89</v>
      </c>
      <c r="AA89" s="134">
        <v>3</v>
      </c>
      <c r="AB89" s="122">
        <v>2.1</v>
      </c>
    </row>
    <row r="90" spans="1:28" ht="14.5">
      <c r="A90" s="394">
        <f t="shared" si="4"/>
        <v>45013</v>
      </c>
      <c r="B90" s="130">
        <v>73.3</v>
      </c>
      <c r="C90" s="124">
        <v>29.87</v>
      </c>
      <c r="D90" s="128">
        <v>1011.5176799999999</v>
      </c>
      <c r="E90" s="128">
        <v>1018.2</v>
      </c>
      <c r="F90" s="122">
        <v>94.281937334039995</v>
      </c>
      <c r="G90" s="113">
        <v>6.9387476412782032</v>
      </c>
      <c r="H90" s="130">
        <v>7.8</v>
      </c>
      <c r="I90" s="127">
        <v>7.9</v>
      </c>
      <c r="J90" s="127">
        <v>7.4</v>
      </c>
      <c r="K90" s="127">
        <v>10.8</v>
      </c>
      <c r="L90" s="127">
        <v>11.1</v>
      </c>
      <c r="M90" s="43">
        <f t="shared" si="3"/>
        <v>7.8000000000000007</v>
      </c>
      <c r="N90" s="127">
        <v>4.8</v>
      </c>
      <c r="O90" s="127">
        <v>3.7</v>
      </c>
      <c r="P90" s="127">
        <v>4.0999999999999996</v>
      </c>
      <c r="Q90" s="127">
        <v>7.1</v>
      </c>
      <c r="R90" s="127">
        <v>8.9</v>
      </c>
      <c r="S90" s="127">
        <v>8.8000000000000007</v>
      </c>
      <c r="T90" s="127">
        <v>2.9</v>
      </c>
      <c r="U90" s="153">
        <v>1</v>
      </c>
      <c r="V90" s="131"/>
      <c r="W90" s="128">
        <v>0</v>
      </c>
      <c r="X90" s="131">
        <v>6</v>
      </c>
      <c r="Y90" s="131">
        <v>8</v>
      </c>
      <c r="Z90" s="133" t="s">
        <v>98</v>
      </c>
      <c r="AA90" s="134">
        <v>14</v>
      </c>
      <c r="AB90" s="122">
        <v>9.8000000000000007</v>
      </c>
    </row>
    <row r="91" spans="1:28" ht="14.5">
      <c r="A91" s="394">
        <f t="shared" si="4"/>
        <v>45014</v>
      </c>
      <c r="B91" s="130">
        <v>73.8</v>
      </c>
      <c r="C91" s="124">
        <v>29.641999999999999</v>
      </c>
      <c r="D91" s="128">
        <v>1003.7966879999999</v>
      </c>
      <c r="E91" s="128">
        <v>1008.6</v>
      </c>
      <c r="F91" s="122">
        <v>96.167428460232031</v>
      </c>
      <c r="G91" s="113">
        <v>10.213991525789353</v>
      </c>
      <c r="H91" s="130">
        <v>10.8</v>
      </c>
      <c r="I91" s="127">
        <v>10.8</v>
      </c>
      <c r="J91" s="127">
        <v>10.5</v>
      </c>
      <c r="K91" s="127">
        <v>13.1</v>
      </c>
      <c r="L91" s="127">
        <v>13.2</v>
      </c>
      <c r="M91" s="43">
        <f t="shared" si="3"/>
        <v>10.3</v>
      </c>
      <c r="N91" s="127">
        <v>7.5</v>
      </c>
      <c r="O91" s="127">
        <v>6.5</v>
      </c>
      <c r="P91" s="127">
        <v>7.1</v>
      </c>
      <c r="Q91" s="127">
        <v>8.6</v>
      </c>
      <c r="R91" s="127">
        <v>8.8000000000000007</v>
      </c>
      <c r="S91" s="127">
        <v>8.9</v>
      </c>
      <c r="T91" s="127">
        <v>5.2</v>
      </c>
      <c r="U91" s="153">
        <v>1</v>
      </c>
      <c r="V91" s="131"/>
      <c r="W91" s="128">
        <v>0</v>
      </c>
      <c r="X91" s="131">
        <v>6</v>
      </c>
      <c r="Y91" s="131">
        <v>8</v>
      </c>
      <c r="Z91" s="133" t="s">
        <v>99</v>
      </c>
      <c r="AA91" s="134">
        <v>15</v>
      </c>
      <c r="AB91" s="122">
        <v>10.5</v>
      </c>
    </row>
    <row r="92" spans="1:28" ht="14.5">
      <c r="A92" s="394">
        <f t="shared" si="4"/>
        <v>45015</v>
      </c>
      <c r="B92" s="130">
        <v>74.099999999999994</v>
      </c>
      <c r="C92" s="124">
        <v>29.518000000000001</v>
      </c>
      <c r="D92" s="128">
        <v>999.59755199999995</v>
      </c>
      <c r="E92" s="128">
        <v>1004.6</v>
      </c>
      <c r="F92" s="122">
        <v>76.638992255201742</v>
      </c>
      <c r="G92" s="113">
        <v>8.6074877897291806</v>
      </c>
      <c r="H92" s="130">
        <v>12.6</v>
      </c>
      <c r="I92" s="127">
        <v>12.6</v>
      </c>
      <c r="J92" s="127">
        <v>10.6</v>
      </c>
      <c r="K92" s="127">
        <v>15.9</v>
      </c>
      <c r="L92" s="127">
        <v>15.9</v>
      </c>
      <c r="M92" s="43">
        <f t="shared" si="3"/>
        <v>13.05</v>
      </c>
      <c r="N92" s="127">
        <v>10.199999999999999</v>
      </c>
      <c r="O92" s="127">
        <v>6.9</v>
      </c>
      <c r="P92" s="127">
        <v>8.4</v>
      </c>
      <c r="Q92" s="127">
        <v>9.6999999999999993</v>
      </c>
      <c r="R92" s="127">
        <v>9.6</v>
      </c>
      <c r="S92" s="127">
        <v>8.8000000000000007</v>
      </c>
      <c r="T92" s="127">
        <v>13.7</v>
      </c>
      <c r="U92" s="153">
        <v>1</v>
      </c>
      <c r="V92" s="131"/>
      <c r="W92" s="128">
        <v>3.5</v>
      </c>
      <c r="X92" s="131">
        <v>8</v>
      </c>
      <c r="Y92" s="131">
        <v>4</v>
      </c>
      <c r="Z92" s="133" t="s">
        <v>89</v>
      </c>
      <c r="AA92" s="134">
        <v>18</v>
      </c>
      <c r="AB92" s="122">
        <v>12.600000000000001</v>
      </c>
    </row>
    <row r="93" spans="1:28" ht="14.5">
      <c r="A93" s="394">
        <f t="shared" si="4"/>
        <v>45016</v>
      </c>
      <c r="B93" s="130">
        <v>74.2</v>
      </c>
      <c r="C93" s="124">
        <v>28.873999999999999</v>
      </c>
      <c r="D93" s="128">
        <v>977.78913599999987</v>
      </c>
      <c r="E93" s="128">
        <v>983.8</v>
      </c>
      <c r="F93" s="122">
        <v>96.111163464277197</v>
      </c>
      <c r="G93" s="113">
        <v>9.8071035410667324</v>
      </c>
      <c r="H93" s="130">
        <v>10.4</v>
      </c>
      <c r="I93" s="127">
        <v>10.4</v>
      </c>
      <c r="J93" s="127">
        <v>10.1</v>
      </c>
      <c r="K93" s="127">
        <v>13.7</v>
      </c>
      <c r="L93" s="127">
        <v>13.9</v>
      </c>
      <c r="M93" s="43">
        <f t="shared" si="3"/>
        <v>11.649999999999999</v>
      </c>
      <c r="N93" s="127">
        <v>9.6</v>
      </c>
      <c r="O93" s="127">
        <v>9.5</v>
      </c>
      <c r="P93" s="127">
        <v>9.4</v>
      </c>
      <c r="Q93" s="127">
        <v>10</v>
      </c>
      <c r="R93" s="127">
        <v>10.3</v>
      </c>
      <c r="S93" s="127">
        <v>8.9</v>
      </c>
      <c r="T93" s="127">
        <v>15.3</v>
      </c>
      <c r="U93" s="153">
        <v>2</v>
      </c>
      <c r="V93" s="131"/>
      <c r="W93" s="128">
        <v>2.5</v>
      </c>
      <c r="X93" s="131">
        <v>8</v>
      </c>
      <c r="Y93" s="131">
        <v>8</v>
      </c>
      <c r="Z93" s="133" t="s">
        <v>82</v>
      </c>
      <c r="AA93" s="134">
        <v>10</v>
      </c>
      <c r="AB93" s="122">
        <v>7</v>
      </c>
    </row>
    <row r="94" spans="1:28" ht="14.5">
      <c r="A94" s="394">
        <f t="shared" si="4"/>
        <v>45017</v>
      </c>
      <c r="B94" s="383">
        <v>76</v>
      </c>
      <c r="C94" s="111">
        <v>29.552</v>
      </c>
      <c r="D94" s="128">
        <v>1000.7489279999999</v>
      </c>
      <c r="E94" s="112">
        <v>1005.7</v>
      </c>
      <c r="F94" s="113">
        <v>87.572889833479039</v>
      </c>
      <c r="G94" s="113">
        <v>6.5565651027855631</v>
      </c>
      <c r="H94" s="114">
        <v>8.5</v>
      </c>
      <c r="I94" s="115">
        <v>8.5</v>
      </c>
      <c r="J94" s="127">
        <v>7.6</v>
      </c>
      <c r="K94" s="115">
        <v>11.5</v>
      </c>
      <c r="L94" s="115">
        <v>11.6</v>
      </c>
      <c r="M94" s="43">
        <f t="shared" si="3"/>
        <v>9.6999999999999993</v>
      </c>
      <c r="N94" s="115">
        <v>7.9</v>
      </c>
      <c r="O94" s="127">
        <v>8.1</v>
      </c>
      <c r="P94" s="127">
        <v>8.4</v>
      </c>
      <c r="Q94" s="115">
        <v>10</v>
      </c>
      <c r="R94" s="115">
        <v>10.5</v>
      </c>
      <c r="S94" s="115">
        <v>9.1</v>
      </c>
      <c r="T94" s="117">
        <v>0.1</v>
      </c>
      <c r="U94" s="118">
        <v>1</v>
      </c>
      <c r="V94" s="119"/>
      <c r="W94" s="115">
        <v>1.3</v>
      </c>
      <c r="X94" s="118">
        <v>8</v>
      </c>
      <c r="Y94" s="118">
        <v>8</v>
      </c>
      <c r="Z94" s="120" t="s">
        <v>82</v>
      </c>
      <c r="AA94" s="121">
        <v>11</v>
      </c>
      <c r="AB94" s="122">
        <v>7.7</v>
      </c>
    </row>
    <row r="95" spans="1:28" ht="14.5">
      <c r="A95" s="394">
        <f t="shared" si="4"/>
        <v>45018</v>
      </c>
      <c r="B95" s="381">
        <v>74.2</v>
      </c>
      <c r="C95" s="123">
        <v>29.442</v>
      </c>
      <c r="D95" s="128">
        <v>997.02388799999994</v>
      </c>
      <c r="E95" s="170">
        <v>1026.5999999999999</v>
      </c>
      <c r="F95" s="113">
        <v>73.49512587098269</v>
      </c>
      <c r="G95" s="113">
        <v>2.2018667027222953</v>
      </c>
      <c r="H95" s="130">
        <v>6.6</v>
      </c>
      <c r="I95" s="127">
        <v>6.7</v>
      </c>
      <c r="J95" s="127">
        <v>4.8</v>
      </c>
      <c r="K95" s="127">
        <v>11.9</v>
      </c>
      <c r="L95" s="127">
        <v>12</v>
      </c>
      <c r="M95" s="43">
        <f t="shared" si="3"/>
        <v>8.5</v>
      </c>
      <c r="N95" s="127">
        <v>5.0999999999999996</v>
      </c>
      <c r="O95" s="171">
        <v>6.2</v>
      </c>
      <c r="P95" s="171">
        <v>6.4</v>
      </c>
      <c r="Q95" s="127">
        <v>8.6</v>
      </c>
      <c r="R95" s="127">
        <v>10.199999999999999</v>
      </c>
      <c r="S95" s="127">
        <v>9.1999999999999993</v>
      </c>
      <c r="T95" s="128">
        <v>0</v>
      </c>
      <c r="U95" s="131">
        <v>1</v>
      </c>
      <c r="V95" s="119"/>
      <c r="W95" s="127">
        <v>6</v>
      </c>
      <c r="X95" s="131">
        <v>8</v>
      </c>
      <c r="Y95" s="131">
        <v>8</v>
      </c>
      <c r="Z95" s="133" t="s">
        <v>82</v>
      </c>
      <c r="AA95" s="134">
        <v>14</v>
      </c>
      <c r="AB95" s="122">
        <v>9.8000000000000007</v>
      </c>
    </row>
    <row r="96" spans="1:28" ht="14.5">
      <c r="A96" s="394">
        <f t="shared" si="4"/>
        <v>45019</v>
      </c>
      <c r="B96" s="159">
        <v>73</v>
      </c>
      <c r="C96" s="124">
        <v>30.3</v>
      </c>
      <c r="D96" s="128">
        <v>1026.0791999999999</v>
      </c>
      <c r="E96" s="128">
        <v>1029.4000000000001</v>
      </c>
      <c r="F96" s="113">
        <v>69.20069446178293</v>
      </c>
      <c r="G96" s="113">
        <v>1.3599941399148263</v>
      </c>
      <c r="H96" s="130">
        <v>6.6</v>
      </c>
      <c r="I96" s="127">
        <v>6.7</v>
      </c>
      <c r="J96" s="125">
        <v>4.5</v>
      </c>
      <c r="K96" s="127">
        <v>12.3</v>
      </c>
      <c r="L96" s="127">
        <v>12.5</v>
      </c>
      <c r="M96" s="43">
        <f t="shared" si="3"/>
        <v>6.4</v>
      </c>
      <c r="N96" s="127">
        <v>0.5</v>
      </c>
      <c r="O96" s="127">
        <v>-3.9</v>
      </c>
      <c r="P96" s="127">
        <v>-0.5</v>
      </c>
      <c r="Q96" s="127">
        <v>6.1</v>
      </c>
      <c r="R96" s="127">
        <v>9.4</v>
      </c>
      <c r="S96" s="127">
        <v>9.4</v>
      </c>
      <c r="T96" s="128">
        <v>0</v>
      </c>
      <c r="U96" s="131">
        <v>1</v>
      </c>
      <c r="V96" s="119"/>
      <c r="W96" s="127">
        <v>8.5</v>
      </c>
      <c r="X96" s="131">
        <v>8</v>
      </c>
      <c r="Y96" s="131">
        <v>7</v>
      </c>
      <c r="Z96" s="133" t="s">
        <v>82</v>
      </c>
      <c r="AA96" s="134">
        <v>10</v>
      </c>
      <c r="AB96" s="122">
        <v>7</v>
      </c>
    </row>
    <row r="97" spans="1:28" ht="14.5">
      <c r="A97" s="394">
        <f t="shared" si="4"/>
        <v>45020</v>
      </c>
      <c r="B97" s="159">
        <v>73.400000000000006</v>
      </c>
      <c r="C97" s="124">
        <v>30.206</v>
      </c>
      <c r="D97" s="128">
        <v>1022.8959839999999</v>
      </c>
      <c r="E97" s="128">
        <v>1027</v>
      </c>
      <c r="F97" s="113">
        <v>55.070592903722883</v>
      </c>
      <c r="G97" s="113">
        <v>-1.1279986712923427</v>
      </c>
      <c r="H97" s="126">
        <v>7.3</v>
      </c>
      <c r="I97" s="126">
        <v>7.4</v>
      </c>
      <c r="J97" s="128">
        <v>4.0999999999999996</v>
      </c>
      <c r="K97" s="127">
        <v>13.9</v>
      </c>
      <c r="L97" s="127">
        <v>14</v>
      </c>
      <c r="M97" s="43">
        <f t="shared" si="3"/>
        <v>6.3500000000000005</v>
      </c>
      <c r="N97" s="127">
        <v>-1.2</v>
      </c>
      <c r="O97" s="127">
        <v>-5.5</v>
      </c>
      <c r="P97" s="127">
        <v>-2</v>
      </c>
      <c r="Q97" s="127">
        <v>5.9</v>
      </c>
      <c r="R97" s="128">
        <v>9</v>
      </c>
      <c r="S97" s="127">
        <v>9.4</v>
      </c>
      <c r="T97" s="128">
        <v>0</v>
      </c>
      <c r="U97" s="125">
        <v>1</v>
      </c>
      <c r="V97" s="119"/>
      <c r="W97" s="127">
        <v>11.5</v>
      </c>
      <c r="X97" s="125">
        <v>8</v>
      </c>
      <c r="Y97" s="125">
        <v>1</v>
      </c>
      <c r="Z97" s="133" t="s">
        <v>82</v>
      </c>
      <c r="AA97" s="134">
        <v>6</v>
      </c>
      <c r="AB97" s="122">
        <v>4.2</v>
      </c>
    </row>
    <row r="98" spans="1:28" ht="14.5">
      <c r="A98" s="394">
        <f t="shared" si="4"/>
        <v>45021</v>
      </c>
      <c r="B98" s="130">
        <v>73.8</v>
      </c>
      <c r="C98" s="129">
        <v>30.026</v>
      </c>
      <c r="D98" s="128">
        <v>1016.8004639999999</v>
      </c>
      <c r="E98" s="128">
        <v>1020.9</v>
      </c>
      <c r="F98" s="122">
        <v>70.75111905678429</v>
      </c>
      <c r="G98" s="113">
        <v>3.9750052937733775</v>
      </c>
      <c r="H98" s="130">
        <v>9</v>
      </c>
      <c r="I98" s="127">
        <v>8.9</v>
      </c>
      <c r="J98" s="127">
        <v>6.8</v>
      </c>
      <c r="K98" s="127">
        <v>11.4</v>
      </c>
      <c r="L98" s="127">
        <v>11.6</v>
      </c>
      <c r="M98" s="43">
        <f t="shared" si="3"/>
        <v>8.5</v>
      </c>
      <c r="N98" s="127">
        <v>5.6</v>
      </c>
      <c r="O98" s="127">
        <v>2.5</v>
      </c>
      <c r="P98" s="127">
        <v>4.9000000000000004</v>
      </c>
      <c r="Q98" s="127">
        <v>8.4</v>
      </c>
      <c r="R98" s="127">
        <v>9.4</v>
      </c>
      <c r="S98" s="127">
        <v>9.3000000000000007</v>
      </c>
      <c r="T98" s="128">
        <v>3.3</v>
      </c>
      <c r="U98" s="131">
        <v>1</v>
      </c>
      <c r="V98" s="119"/>
      <c r="W98" s="127">
        <v>0.5</v>
      </c>
      <c r="X98" s="131">
        <v>8</v>
      </c>
      <c r="Y98" s="131">
        <v>7</v>
      </c>
      <c r="Z98" s="133" t="s">
        <v>82</v>
      </c>
      <c r="AA98" s="134">
        <v>5</v>
      </c>
      <c r="AB98" s="122">
        <v>3.5</v>
      </c>
    </row>
    <row r="99" spans="1:28" ht="14.5">
      <c r="A99" s="394">
        <f t="shared" si="4"/>
        <v>45022</v>
      </c>
      <c r="B99" s="130">
        <v>75.7</v>
      </c>
      <c r="C99" s="129">
        <v>29.768000000000001</v>
      </c>
      <c r="D99" s="128">
        <v>1008.063552</v>
      </c>
      <c r="E99" s="128">
        <v>1013.6</v>
      </c>
      <c r="F99" s="122">
        <v>85.961614593786379</v>
      </c>
      <c r="G99" s="113">
        <v>8.2518680876016646</v>
      </c>
      <c r="H99" s="130">
        <v>10.5</v>
      </c>
      <c r="I99" s="127">
        <v>10.4</v>
      </c>
      <c r="J99" s="127">
        <v>9.4</v>
      </c>
      <c r="K99" s="127">
        <v>15.2</v>
      </c>
      <c r="L99" s="127">
        <v>15.3</v>
      </c>
      <c r="M99" s="43">
        <f t="shared" si="3"/>
        <v>11.95</v>
      </c>
      <c r="N99" s="127">
        <v>8.6999999999999993</v>
      </c>
      <c r="O99" s="127">
        <v>8.6</v>
      </c>
      <c r="P99" s="127">
        <v>8.6</v>
      </c>
      <c r="Q99" s="127">
        <v>9.9</v>
      </c>
      <c r="R99" s="127">
        <v>10</v>
      </c>
      <c r="S99" s="127">
        <v>9.4</v>
      </c>
      <c r="T99" s="128">
        <v>2.4</v>
      </c>
      <c r="U99" s="131">
        <v>1</v>
      </c>
      <c r="V99" s="119"/>
      <c r="W99" s="127">
        <v>4.0999999999999996</v>
      </c>
      <c r="X99" s="131">
        <v>8</v>
      </c>
      <c r="Y99" s="131">
        <v>7</v>
      </c>
      <c r="Z99" s="133" t="s">
        <v>82</v>
      </c>
      <c r="AA99" s="134">
        <v>12</v>
      </c>
      <c r="AB99" s="122">
        <v>8.4</v>
      </c>
    </row>
    <row r="100" spans="1:28" ht="14.5">
      <c r="A100" s="394">
        <f t="shared" si="4"/>
        <v>45023</v>
      </c>
      <c r="B100" s="130">
        <v>75</v>
      </c>
      <c r="C100" s="129">
        <v>29.986000000000001</v>
      </c>
      <c r="D100" s="128">
        <v>1015.4459039999999</v>
      </c>
      <c r="E100" s="128">
        <v>1021.6</v>
      </c>
      <c r="F100" s="122">
        <v>66.414118203882126</v>
      </c>
      <c r="G100" s="113">
        <v>3.6499981274423039</v>
      </c>
      <c r="H100" s="130">
        <v>9.6</v>
      </c>
      <c r="I100" s="127">
        <v>9.6999999999999993</v>
      </c>
      <c r="J100" s="127">
        <v>7</v>
      </c>
      <c r="K100" s="127">
        <v>14.5</v>
      </c>
      <c r="L100" s="127">
        <v>14.8</v>
      </c>
      <c r="M100" s="43">
        <f t="shared" ref="M100:M128" si="5">AVERAGE(K100,N100)</f>
        <v>8.25</v>
      </c>
      <c r="N100" s="128">
        <v>2</v>
      </c>
      <c r="O100" s="127">
        <v>-1.2</v>
      </c>
      <c r="P100" s="127">
        <v>0.9</v>
      </c>
      <c r="Q100" s="127">
        <v>7.2</v>
      </c>
      <c r="R100" s="127">
        <v>9.6</v>
      </c>
      <c r="S100" s="127">
        <v>9.4</v>
      </c>
      <c r="T100" s="128">
        <v>0</v>
      </c>
      <c r="U100" s="131">
        <v>1</v>
      </c>
      <c r="V100" s="132"/>
      <c r="W100" s="127">
        <v>11.9</v>
      </c>
      <c r="X100" s="153">
        <v>8</v>
      </c>
      <c r="Y100" s="153">
        <v>0</v>
      </c>
      <c r="Z100" s="133" t="s">
        <v>82</v>
      </c>
      <c r="AA100" s="134">
        <v>5</v>
      </c>
      <c r="AB100" s="122">
        <v>3.5</v>
      </c>
    </row>
    <row r="101" spans="1:28" ht="14.5">
      <c r="A101" s="394">
        <f t="shared" si="4"/>
        <v>45024</v>
      </c>
      <c r="B101" s="130">
        <v>74.900000000000006</v>
      </c>
      <c r="C101" s="129">
        <v>30.166</v>
      </c>
      <c r="D101" s="128">
        <v>1021.5414239999999</v>
      </c>
      <c r="E101" s="128">
        <v>1025.5</v>
      </c>
      <c r="F101" s="122">
        <v>75.067320010626588</v>
      </c>
      <c r="G101" s="113">
        <v>3.9502751115589763</v>
      </c>
      <c r="H101" s="130">
        <v>8.1</v>
      </c>
      <c r="I101" s="127">
        <v>8.3000000000000007</v>
      </c>
      <c r="J101" s="127">
        <v>6.3</v>
      </c>
      <c r="K101" s="127">
        <v>15.4</v>
      </c>
      <c r="L101" s="127">
        <v>15.6</v>
      </c>
      <c r="M101" s="43">
        <f t="shared" si="5"/>
        <v>8.3000000000000007</v>
      </c>
      <c r="N101" s="127">
        <v>1.2</v>
      </c>
      <c r="O101" s="127">
        <v>-2.2999999999999998</v>
      </c>
      <c r="P101" s="127">
        <v>0.4</v>
      </c>
      <c r="Q101" s="127">
        <v>9.1999999999999993</v>
      </c>
      <c r="R101" s="127">
        <v>9.9</v>
      </c>
      <c r="S101" s="127">
        <v>9.5</v>
      </c>
      <c r="T101" s="127" t="s">
        <v>93</v>
      </c>
      <c r="U101" s="131">
        <v>1</v>
      </c>
      <c r="V101" s="128"/>
      <c r="W101" s="128">
        <v>9.1999999999999993</v>
      </c>
      <c r="X101" s="131">
        <v>8</v>
      </c>
      <c r="Y101" s="131">
        <v>4</v>
      </c>
      <c r="Z101" s="133" t="s">
        <v>82</v>
      </c>
      <c r="AA101" s="134">
        <v>0</v>
      </c>
      <c r="AB101" s="122">
        <v>0</v>
      </c>
    </row>
    <row r="102" spans="1:28" ht="14.5">
      <c r="A102" s="394">
        <f t="shared" si="4"/>
        <v>45025</v>
      </c>
      <c r="B102" s="130">
        <v>75</v>
      </c>
      <c r="C102" s="129">
        <v>30.007999999999999</v>
      </c>
      <c r="D102" s="128">
        <v>1016.1909119999999</v>
      </c>
      <c r="E102" s="128">
        <v>1023.2</v>
      </c>
      <c r="F102" s="122">
        <v>85.418587400213298</v>
      </c>
      <c r="G102" s="113">
        <v>4.8205388118648642</v>
      </c>
      <c r="H102" s="130">
        <v>7.1</v>
      </c>
      <c r="I102" s="127">
        <v>7.2</v>
      </c>
      <c r="J102" s="127">
        <v>6.1</v>
      </c>
      <c r="K102" s="127">
        <v>15.9</v>
      </c>
      <c r="L102" s="127">
        <v>16.100000000000001</v>
      </c>
      <c r="M102" s="43">
        <f t="shared" si="5"/>
        <v>9.85</v>
      </c>
      <c r="N102" s="127">
        <v>3.8</v>
      </c>
      <c r="O102" s="127">
        <v>0.6</v>
      </c>
      <c r="P102" s="127">
        <v>2.4</v>
      </c>
      <c r="Q102" s="127">
        <v>8.4</v>
      </c>
      <c r="R102" s="127">
        <v>10.1</v>
      </c>
      <c r="S102" s="127">
        <v>9.5</v>
      </c>
      <c r="T102" s="128">
        <v>8.6999999999999993</v>
      </c>
      <c r="U102" s="131">
        <v>1</v>
      </c>
      <c r="V102" s="135"/>
      <c r="W102" s="127">
        <v>6.2</v>
      </c>
      <c r="X102" s="131">
        <v>6</v>
      </c>
      <c r="Y102" s="131">
        <v>8</v>
      </c>
      <c r="Z102" s="133" t="s">
        <v>87</v>
      </c>
      <c r="AA102" s="134">
        <v>9</v>
      </c>
      <c r="AB102" s="122">
        <v>6.3000000000000007</v>
      </c>
    </row>
    <row r="103" spans="1:28" ht="14.5">
      <c r="A103" s="394">
        <f t="shared" si="4"/>
        <v>45026</v>
      </c>
      <c r="B103" s="130">
        <v>75.599999999999994</v>
      </c>
      <c r="C103" s="129">
        <v>29.623999999999999</v>
      </c>
      <c r="D103" s="128">
        <v>1003.1871359999999</v>
      </c>
      <c r="E103" s="128">
        <v>1008.9</v>
      </c>
      <c r="F103" s="122">
        <v>96.23565976183292</v>
      </c>
      <c r="G103" s="113">
        <v>0</v>
      </c>
      <c r="H103" s="130">
        <v>11.3</v>
      </c>
      <c r="I103" s="127">
        <v>11.4</v>
      </c>
      <c r="J103" s="127">
        <v>11</v>
      </c>
      <c r="K103" s="127">
        <v>14.8</v>
      </c>
      <c r="L103" s="127">
        <v>14.9</v>
      </c>
      <c r="M103" s="43">
        <f t="shared" si="5"/>
        <v>10.95</v>
      </c>
      <c r="N103" s="127">
        <v>7.1</v>
      </c>
      <c r="O103" s="127">
        <v>8.4</v>
      </c>
      <c r="P103" s="127">
        <v>9</v>
      </c>
      <c r="Q103" s="127">
        <v>10.5</v>
      </c>
      <c r="R103" s="127">
        <v>10.6</v>
      </c>
      <c r="S103" s="127">
        <v>9.6</v>
      </c>
      <c r="T103" s="127">
        <v>2.2999999999999998</v>
      </c>
      <c r="U103" s="131">
        <v>2</v>
      </c>
      <c r="V103" s="135"/>
      <c r="W103" s="128">
        <v>6.2</v>
      </c>
      <c r="X103" s="131">
        <v>7</v>
      </c>
      <c r="Y103" s="131">
        <v>8</v>
      </c>
      <c r="Z103" s="133" t="s">
        <v>100</v>
      </c>
      <c r="AA103" s="134">
        <v>14</v>
      </c>
      <c r="AB103" s="122">
        <v>9.8000000000000007</v>
      </c>
    </row>
    <row r="104" spans="1:28" ht="14.5">
      <c r="A104" s="394">
        <f t="shared" si="4"/>
        <v>45027</v>
      </c>
      <c r="B104" s="130">
        <v>75.5</v>
      </c>
      <c r="C104" s="124">
        <v>29.757999999999999</v>
      </c>
      <c r="D104" s="128">
        <v>1007.7249119999999</v>
      </c>
      <c r="E104" s="128">
        <v>1013</v>
      </c>
      <c r="F104" s="122">
        <v>60.387154725562112</v>
      </c>
      <c r="G104" s="113">
        <v>3.1555576858049772</v>
      </c>
      <c r="H104" s="130">
        <v>10.5</v>
      </c>
      <c r="I104" s="127">
        <v>10.4</v>
      </c>
      <c r="J104" s="127">
        <v>7.3</v>
      </c>
      <c r="K104" s="127">
        <v>13.4</v>
      </c>
      <c r="L104" s="127">
        <v>13.6</v>
      </c>
      <c r="M104" s="43">
        <f t="shared" si="5"/>
        <v>9.65</v>
      </c>
      <c r="N104" s="127">
        <v>5.9</v>
      </c>
      <c r="O104" s="127">
        <v>2.9</v>
      </c>
      <c r="P104" s="127">
        <v>3.7</v>
      </c>
      <c r="Q104" s="127">
        <v>8.5</v>
      </c>
      <c r="R104" s="127">
        <v>10.5</v>
      </c>
      <c r="S104" s="127">
        <v>9.8000000000000007</v>
      </c>
      <c r="T104" s="127">
        <v>7.1</v>
      </c>
      <c r="U104" s="131">
        <v>1</v>
      </c>
      <c r="V104" s="135"/>
      <c r="W104" s="127">
        <v>5.4</v>
      </c>
      <c r="X104" s="131">
        <v>8</v>
      </c>
      <c r="Y104" s="131">
        <v>3</v>
      </c>
      <c r="Z104" s="133" t="s">
        <v>82</v>
      </c>
      <c r="AA104" s="134">
        <v>14</v>
      </c>
      <c r="AB104" s="122">
        <v>9.8000000000000007</v>
      </c>
    </row>
    <row r="105" spans="1:28" ht="14.5">
      <c r="A105" s="394">
        <f t="shared" si="4"/>
        <v>45028</v>
      </c>
      <c r="B105" s="130">
        <v>74.400000000000006</v>
      </c>
      <c r="C105" s="124">
        <v>29.155999999999999</v>
      </c>
      <c r="D105" s="128">
        <v>987.33878399999992</v>
      </c>
      <c r="E105" s="128">
        <v>995.2</v>
      </c>
      <c r="F105" s="122">
        <v>58.320338023490827</v>
      </c>
      <c r="G105" s="113">
        <v>0.6911774015710076</v>
      </c>
      <c r="H105" s="130">
        <v>8.4</v>
      </c>
      <c r="I105" s="127">
        <v>8.5</v>
      </c>
      <c r="J105" s="127">
        <v>5.3</v>
      </c>
      <c r="K105" s="127">
        <v>10.4</v>
      </c>
      <c r="L105" s="127">
        <v>10.5</v>
      </c>
      <c r="M105" s="43">
        <f t="shared" si="5"/>
        <v>6.65</v>
      </c>
      <c r="N105" s="127">
        <v>2.9</v>
      </c>
      <c r="O105" s="127">
        <v>1.4</v>
      </c>
      <c r="P105" s="127">
        <v>2.7</v>
      </c>
      <c r="Q105" s="127">
        <v>7.7</v>
      </c>
      <c r="R105" s="127">
        <v>10</v>
      </c>
      <c r="S105" s="127">
        <v>9.8000000000000007</v>
      </c>
      <c r="T105" s="127">
        <v>8.1999999999999993</v>
      </c>
      <c r="U105" s="131">
        <v>1</v>
      </c>
      <c r="V105" s="127"/>
      <c r="W105" s="127">
        <v>4.5</v>
      </c>
      <c r="X105" s="131">
        <v>8</v>
      </c>
      <c r="Y105" s="131">
        <v>3</v>
      </c>
      <c r="Z105" s="133" t="s">
        <v>82</v>
      </c>
      <c r="AA105" s="134">
        <v>24</v>
      </c>
      <c r="AB105" s="122">
        <v>16.8</v>
      </c>
    </row>
    <row r="106" spans="1:28" ht="14.5">
      <c r="A106" s="394">
        <f t="shared" si="4"/>
        <v>45029</v>
      </c>
      <c r="B106" s="130">
        <v>74.599999999999994</v>
      </c>
      <c r="C106" s="124">
        <v>29.391999999999999</v>
      </c>
      <c r="D106" s="128">
        <v>995.3306879999999</v>
      </c>
      <c r="E106" s="128">
        <v>1002.6</v>
      </c>
      <c r="F106" s="122">
        <v>58.369518618549357</v>
      </c>
      <c r="G106" s="113">
        <v>1.4546437691478618</v>
      </c>
      <c r="H106" s="130">
        <v>9.1999999999999993</v>
      </c>
      <c r="I106" s="127">
        <v>9.1999999999999993</v>
      </c>
      <c r="J106" s="127">
        <v>6</v>
      </c>
      <c r="K106" s="127">
        <v>12.7</v>
      </c>
      <c r="L106" s="127">
        <v>12.7</v>
      </c>
      <c r="M106" s="43">
        <f t="shared" si="5"/>
        <v>8.8000000000000007</v>
      </c>
      <c r="N106" s="127">
        <v>4.9000000000000004</v>
      </c>
      <c r="O106" s="127">
        <v>2.7</v>
      </c>
      <c r="P106" s="127">
        <v>2.9</v>
      </c>
      <c r="Q106" s="127">
        <v>7.3</v>
      </c>
      <c r="R106" s="127">
        <v>9.5</v>
      </c>
      <c r="S106" s="127">
        <v>9.9</v>
      </c>
      <c r="T106" s="127">
        <v>2.2000000000000002</v>
      </c>
      <c r="U106" s="131">
        <v>1</v>
      </c>
      <c r="V106" s="119"/>
      <c r="W106" s="127">
        <v>11.5</v>
      </c>
      <c r="X106" s="131">
        <v>8</v>
      </c>
      <c r="Y106" s="131">
        <v>1</v>
      </c>
      <c r="Z106" s="133" t="s">
        <v>82</v>
      </c>
      <c r="AA106" s="134">
        <v>17</v>
      </c>
      <c r="AB106" s="122">
        <v>11.9</v>
      </c>
    </row>
    <row r="107" spans="1:28" ht="14.5">
      <c r="A107" s="394">
        <f t="shared" si="4"/>
        <v>45030</v>
      </c>
      <c r="B107" s="130">
        <v>75.400000000000006</v>
      </c>
      <c r="C107" s="124">
        <v>29.478000000000002</v>
      </c>
      <c r="D107" s="128">
        <v>998.24299199999996</v>
      </c>
      <c r="E107" s="128">
        <v>1003.6</v>
      </c>
      <c r="F107" s="122">
        <v>81.795158053708064</v>
      </c>
      <c r="G107" s="113">
        <v>5.0801433079678482</v>
      </c>
      <c r="H107" s="130">
        <v>8</v>
      </c>
      <c r="I107" s="127">
        <v>7.9</v>
      </c>
      <c r="J107" s="127">
        <v>6.7</v>
      </c>
      <c r="K107" s="127">
        <v>10.4</v>
      </c>
      <c r="L107" s="127">
        <v>10.6</v>
      </c>
      <c r="M107" s="43">
        <f t="shared" si="5"/>
        <v>7.95</v>
      </c>
      <c r="N107" s="127">
        <v>5.5</v>
      </c>
      <c r="O107" s="127">
        <v>2.6</v>
      </c>
      <c r="P107" s="127">
        <v>4.5</v>
      </c>
      <c r="Q107" s="127">
        <v>7.8</v>
      </c>
      <c r="R107" s="127">
        <v>9.6</v>
      </c>
      <c r="S107" s="127">
        <v>9.8000000000000007</v>
      </c>
      <c r="T107" s="127">
        <v>8.5</v>
      </c>
      <c r="U107" s="131">
        <v>1</v>
      </c>
      <c r="V107" s="119"/>
      <c r="W107" s="127">
        <v>1.7</v>
      </c>
      <c r="X107" s="131">
        <v>8</v>
      </c>
      <c r="Y107" s="131">
        <v>8</v>
      </c>
      <c r="Z107" s="133" t="s">
        <v>101</v>
      </c>
      <c r="AA107" s="134">
        <v>6</v>
      </c>
      <c r="AB107" s="122">
        <v>4.2</v>
      </c>
    </row>
    <row r="108" spans="1:28" ht="14.5">
      <c r="A108" s="394">
        <f t="shared" si="4"/>
        <v>45031</v>
      </c>
      <c r="B108" s="138">
        <v>74.099999999999994</v>
      </c>
      <c r="C108" s="137">
        <v>29.9</v>
      </c>
      <c r="D108" s="128">
        <v>1012.5335999999999</v>
      </c>
      <c r="E108" s="128">
        <v>1018.6</v>
      </c>
      <c r="F108" s="122">
        <v>83.370731898378935</v>
      </c>
      <c r="G108" s="113">
        <v>5.6481690079540599</v>
      </c>
      <c r="H108" s="138">
        <v>8.3000000000000007</v>
      </c>
      <c r="I108" s="136">
        <v>8.4</v>
      </c>
      <c r="J108" s="136">
        <v>7.1</v>
      </c>
      <c r="K108" s="136">
        <v>14.3</v>
      </c>
      <c r="L108" s="136">
        <v>14.5</v>
      </c>
      <c r="M108" s="43">
        <f t="shared" si="5"/>
        <v>9.8000000000000007</v>
      </c>
      <c r="N108" s="136">
        <v>5.3</v>
      </c>
      <c r="O108" s="136">
        <v>4.5999999999999996</v>
      </c>
      <c r="P108" s="136">
        <v>5.0999999999999996</v>
      </c>
      <c r="Q108" s="136">
        <v>8.4</v>
      </c>
      <c r="R108" s="136">
        <v>9.6999999999999993</v>
      </c>
      <c r="S108" s="136">
        <v>9.8000000000000007</v>
      </c>
      <c r="T108" s="136" t="s">
        <v>91</v>
      </c>
      <c r="U108" s="139">
        <v>1</v>
      </c>
      <c r="V108" s="140"/>
      <c r="W108" s="136">
        <v>6.2</v>
      </c>
      <c r="X108" s="139">
        <v>8</v>
      </c>
      <c r="Y108" s="139">
        <v>8</v>
      </c>
      <c r="Z108" s="141" t="s">
        <v>82</v>
      </c>
      <c r="AA108" s="142">
        <v>9</v>
      </c>
      <c r="AB108" s="122">
        <v>6.3000000000000007</v>
      </c>
    </row>
    <row r="109" spans="1:28" ht="14.5">
      <c r="A109" s="394">
        <f t="shared" si="4"/>
        <v>45032</v>
      </c>
      <c r="B109" s="130">
        <v>74.2</v>
      </c>
      <c r="C109" s="124">
        <v>30.178000000000001</v>
      </c>
      <c r="D109" s="128">
        <v>1021.9477919999999</v>
      </c>
      <c r="E109" s="128">
        <v>1025.5</v>
      </c>
      <c r="F109" s="122">
        <v>71.581229073359964</v>
      </c>
      <c r="G109" s="113">
        <v>5.968465321666935</v>
      </c>
      <c r="H109" s="130">
        <v>10.9</v>
      </c>
      <c r="I109" s="127">
        <v>10.9</v>
      </c>
      <c r="J109" s="127">
        <v>8.6</v>
      </c>
      <c r="K109" s="136">
        <v>12.5</v>
      </c>
      <c r="L109" s="136">
        <v>12.6</v>
      </c>
      <c r="M109" s="43">
        <f t="shared" si="5"/>
        <v>9.85</v>
      </c>
      <c r="N109" s="127">
        <v>7.2</v>
      </c>
      <c r="O109" s="127">
        <v>3.2</v>
      </c>
      <c r="P109" s="127">
        <v>6.9</v>
      </c>
      <c r="Q109" s="127">
        <v>9.9</v>
      </c>
      <c r="R109" s="127">
        <v>10.4</v>
      </c>
      <c r="S109" s="127">
        <v>9.8000000000000007</v>
      </c>
      <c r="T109" s="136">
        <v>0.9</v>
      </c>
      <c r="U109" s="131">
        <v>1</v>
      </c>
      <c r="V109" s="119"/>
      <c r="W109" s="136">
        <v>0.1</v>
      </c>
      <c r="X109" s="131">
        <v>8</v>
      </c>
      <c r="Y109" s="131">
        <v>8</v>
      </c>
      <c r="Z109" s="133" t="s">
        <v>82</v>
      </c>
      <c r="AA109" s="127">
        <v>4</v>
      </c>
      <c r="AB109" s="122">
        <v>2.8</v>
      </c>
    </row>
    <row r="110" spans="1:28" ht="14.5">
      <c r="A110" s="394">
        <f t="shared" si="4"/>
        <v>45033</v>
      </c>
      <c r="B110" s="138">
        <v>74.2</v>
      </c>
      <c r="C110" s="137">
        <v>30.224399999999999</v>
      </c>
      <c r="D110" s="128">
        <v>1023.5190815999999</v>
      </c>
      <c r="E110" s="128">
        <v>1027.2</v>
      </c>
      <c r="F110" s="122">
        <v>78.463722725854623</v>
      </c>
      <c r="G110" s="113">
        <v>8.3724918442819209</v>
      </c>
      <c r="H110" s="138">
        <v>12</v>
      </c>
      <c r="I110" s="136">
        <v>12</v>
      </c>
      <c r="J110" s="142">
        <v>10.199999999999999</v>
      </c>
      <c r="K110" s="127">
        <v>15.1</v>
      </c>
      <c r="L110" s="127">
        <v>15.3</v>
      </c>
      <c r="M110" s="43">
        <f t="shared" si="5"/>
        <v>12.3</v>
      </c>
      <c r="N110" s="138">
        <v>9.5</v>
      </c>
      <c r="O110" s="173">
        <v>9.8000000000000007</v>
      </c>
      <c r="P110" s="173">
        <v>9.9</v>
      </c>
      <c r="Q110" s="136">
        <v>11.5</v>
      </c>
      <c r="R110" s="136">
        <v>11.5</v>
      </c>
      <c r="S110" s="142">
        <v>10</v>
      </c>
      <c r="T110" s="127" t="s">
        <v>93</v>
      </c>
      <c r="U110" s="143">
        <v>1</v>
      </c>
      <c r="V110" s="119"/>
      <c r="W110" s="127">
        <v>2.2999999999999998</v>
      </c>
      <c r="X110" s="144">
        <v>8</v>
      </c>
      <c r="Y110" s="139">
        <v>8</v>
      </c>
      <c r="Z110" s="141" t="s">
        <v>82</v>
      </c>
      <c r="AA110" s="142">
        <v>4</v>
      </c>
      <c r="AB110" s="122">
        <v>2.8</v>
      </c>
    </row>
    <row r="111" spans="1:28" ht="14.5">
      <c r="A111" s="394">
        <f t="shared" si="4"/>
        <v>45034</v>
      </c>
      <c r="B111" s="130">
        <v>74</v>
      </c>
      <c r="C111" s="124">
        <v>30.175999999999998</v>
      </c>
      <c r="D111" s="128">
        <v>1021.8800639999998</v>
      </c>
      <c r="E111" s="128">
        <v>1028.0999999999999</v>
      </c>
      <c r="F111" s="122">
        <v>72.470077067067422</v>
      </c>
      <c r="G111" s="113">
        <v>4.7024602290903266</v>
      </c>
      <c r="H111" s="138">
        <v>9.4</v>
      </c>
      <c r="I111" s="136">
        <v>9.5</v>
      </c>
      <c r="J111" s="136">
        <v>7.3</v>
      </c>
      <c r="K111" s="145">
        <v>14.6</v>
      </c>
      <c r="L111" s="145">
        <v>14.7</v>
      </c>
      <c r="M111" s="43">
        <f t="shared" si="5"/>
        <v>10.65</v>
      </c>
      <c r="N111" s="136">
        <v>6.7</v>
      </c>
      <c r="O111" s="136">
        <v>3.8</v>
      </c>
      <c r="P111" s="136">
        <v>5.7</v>
      </c>
      <c r="Q111" s="136">
        <v>10.4</v>
      </c>
      <c r="R111" s="136">
        <v>11.1</v>
      </c>
      <c r="S111" s="142">
        <v>10</v>
      </c>
      <c r="T111" s="127">
        <v>0</v>
      </c>
      <c r="U111" s="146">
        <v>1</v>
      </c>
      <c r="V111" s="147"/>
      <c r="W111" s="145">
        <v>5.9</v>
      </c>
      <c r="X111" s="139">
        <v>8</v>
      </c>
      <c r="Y111" s="139">
        <v>4</v>
      </c>
      <c r="Z111" s="141" t="s">
        <v>82</v>
      </c>
      <c r="AA111" s="136">
        <v>16</v>
      </c>
      <c r="AB111" s="148">
        <v>11.2</v>
      </c>
    </row>
    <row r="112" spans="1:28" ht="14.5">
      <c r="A112" s="394">
        <f t="shared" si="4"/>
        <v>45035</v>
      </c>
      <c r="B112" s="138">
        <v>73.8</v>
      </c>
      <c r="C112" s="137">
        <v>30.155999999999999</v>
      </c>
      <c r="D112" s="128">
        <v>1021.2027839999998</v>
      </c>
      <c r="E112" s="128">
        <v>1025.9000000000001</v>
      </c>
      <c r="F112" s="122">
        <v>78.4951560413012</v>
      </c>
      <c r="G112" s="149">
        <v>6.9204985405620514</v>
      </c>
      <c r="H112" s="130">
        <v>10.5</v>
      </c>
      <c r="I112" s="127">
        <v>10.6</v>
      </c>
      <c r="J112" s="127">
        <v>8.8000000000000007</v>
      </c>
      <c r="K112" s="128">
        <v>15.5</v>
      </c>
      <c r="L112" s="125">
        <v>15.7</v>
      </c>
      <c r="M112" s="43">
        <f t="shared" si="5"/>
        <v>10.95</v>
      </c>
      <c r="N112" s="127">
        <v>6.4</v>
      </c>
      <c r="O112" s="127">
        <v>4.5999999999999996</v>
      </c>
      <c r="P112" s="127">
        <v>5.4</v>
      </c>
      <c r="Q112" s="127">
        <v>10.1</v>
      </c>
      <c r="R112" s="127">
        <v>11.2</v>
      </c>
      <c r="S112" s="127">
        <v>10.1</v>
      </c>
      <c r="T112" s="150">
        <v>0</v>
      </c>
      <c r="U112" s="131">
        <v>1</v>
      </c>
      <c r="V112" s="119"/>
      <c r="W112" s="127">
        <v>6.5</v>
      </c>
      <c r="X112" s="131">
        <v>8</v>
      </c>
      <c r="Y112" s="131">
        <v>8</v>
      </c>
      <c r="Z112" s="133" t="s">
        <v>82</v>
      </c>
      <c r="AA112" s="127">
        <v>10</v>
      </c>
      <c r="AB112" s="122">
        <v>7</v>
      </c>
    </row>
    <row r="113" spans="1:28" ht="14.5">
      <c r="A113" s="394">
        <f t="shared" si="4"/>
        <v>45036</v>
      </c>
      <c r="B113" s="382">
        <v>72.2</v>
      </c>
      <c r="C113" s="151">
        <v>30.097999999999999</v>
      </c>
      <c r="D113" s="128">
        <v>1019.2386719999998</v>
      </c>
      <c r="E113" s="128">
        <v>1023.2</v>
      </c>
      <c r="F113" s="122">
        <v>52.731523072293982</v>
      </c>
      <c r="G113" s="152">
        <v>1.5320360254645633</v>
      </c>
      <c r="H113" s="126">
        <v>10.8</v>
      </c>
      <c r="I113" s="125">
        <v>10.8</v>
      </c>
      <c r="J113" s="125">
        <v>6.9</v>
      </c>
      <c r="K113" s="127">
        <v>14.9</v>
      </c>
      <c r="L113" s="127">
        <v>15</v>
      </c>
      <c r="M113" s="43">
        <f t="shared" si="5"/>
        <v>9.1</v>
      </c>
      <c r="N113" s="125">
        <v>3.3</v>
      </c>
      <c r="O113" s="125">
        <v>0.2</v>
      </c>
      <c r="P113" s="125">
        <v>2.5</v>
      </c>
      <c r="Q113" s="128">
        <v>8</v>
      </c>
      <c r="R113" s="125">
        <v>10.6</v>
      </c>
      <c r="S113" s="128">
        <v>10.3</v>
      </c>
      <c r="T113" s="127">
        <v>0.9</v>
      </c>
      <c r="U113" s="153">
        <v>1</v>
      </c>
      <c r="V113" s="135"/>
      <c r="W113" s="127">
        <v>11.7</v>
      </c>
      <c r="X113" s="125">
        <v>8</v>
      </c>
      <c r="Y113" s="125">
        <v>0</v>
      </c>
      <c r="Z113" s="154" t="s">
        <v>82</v>
      </c>
      <c r="AA113" s="128">
        <v>14</v>
      </c>
      <c r="AB113" s="155">
        <v>9.8000000000000007</v>
      </c>
    </row>
    <row r="114" spans="1:28" ht="14.5">
      <c r="A114" s="394">
        <f t="shared" si="4"/>
        <v>45037</v>
      </c>
      <c r="B114" s="159">
        <v>72.400000000000006</v>
      </c>
      <c r="C114" s="157">
        <v>29.71</v>
      </c>
      <c r="D114" s="128">
        <v>1006.09944</v>
      </c>
      <c r="E114" s="127">
        <v>1012.8</v>
      </c>
      <c r="F114" s="158">
        <v>85.358883163109937</v>
      </c>
      <c r="G114" s="122">
        <v>4.7123370968830907</v>
      </c>
      <c r="H114" s="159">
        <v>7</v>
      </c>
      <c r="I114" s="156">
        <v>7.1</v>
      </c>
      <c r="J114" s="156">
        <v>6</v>
      </c>
      <c r="K114" s="127">
        <v>10.4</v>
      </c>
      <c r="L114" s="156">
        <v>10.6</v>
      </c>
      <c r="M114" s="43">
        <f t="shared" si="5"/>
        <v>7.5</v>
      </c>
      <c r="N114" s="156">
        <v>4.5999999999999996</v>
      </c>
      <c r="O114" s="156">
        <v>3.3</v>
      </c>
      <c r="P114" s="156">
        <v>4.4000000000000004</v>
      </c>
      <c r="Q114" s="160">
        <v>9.1999999999999993</v>
      </c>
      <c r="R114" s="156">
        <v>11</v>
      </c>
      <c r="S114" s="156">
        <v>10.199999999999999</v>
      </c>
      <c r="T114" s="156">
        <v>0.5</v>
      </c>
      <c r="U114" s="161">
        <v>1</v>
      </c>
      <c r="V114" s="162"/>
      <c r="W114" s="160">
        <v>2.1</v>
      </c>
      <c r="X114" s="163">
        <v>8</v>
      </c>
      <c r="Y114" s="163">
        <v>8</v>
      </c>
      <c r="Z114" s="164" t="s">
        <v>82</v>
      </c>
      <c r="AA114" s="165">
        <v>6</v>
      </c>
      <c r="AB114" s="166">
        <v>4.2</v>
      </c>
    </row>
    <row r="115" spans="1:28" ht="14.5">
      <c r="A115" s="394">
        <f t="shared" si="4"/>
        <v>45038</v>
      </c>
      <c r="B115" s="130">
        <v>71.8</v>
      </c>
      <c r="C115" s="124">
        <v>29.51</v>
      </c>
      <c r="D115" s="128">
        <v>999.32664</v>
      </c>
      <c r="E115" s="128">
        <v>1006.2</v>
      </c>
      <c r="F115" s="122">
        <v>98.367033140488616</v>
      </c>
      <c r="G115" s="167">
        <v>4.4644932069034793</v>
      </c>
      <c r="H115" s="130">
        <v>4.7</v>
      </c>
      <c r="I115" s="127">
        <v>4.9000000000000004</v>
      </c>
      <c r="J115" s="127">
        <v>4.5999999999999996</v>
      </c>
      <c r="K115" s="110">
        <v>14.2</v>
      </c>
      <c r="L115" s="127">
        <v>14.4</v>
      </c>
      <c r="M115" s="43">
        <f t="shared" si="5"/>
        <v>7.5</v>
      </c>
      <c r="N115" s="127">
        <v>0.8</v>
      </c>
      <c r="O115" s="127">
        <v>-1.6</v>
      </c>
      <c r="P115" s="116">
        <v>1.4</v>
      </c>
      <c r="Q115" s="127">
        <v>7.5</v>
      </c>
      <c r="R115" s="127">
        <v>10.1</v>
      </c>
      <c r="S115" s="127">
        <v>10.4</v>
      </c>
      <c r="T115" s="127">
        <v>1.8</v>
      </c>
      <c r="U115" s="153">
        <v>1</v>
      </c>
      <c r="V115" s="131"/>
      <c r="W115" s="128">
        <v>3.9</v>
      </c>
      <c r="X115" s="153">
        <v>5</v>
      </c>
      <c r="Y115" s="153">
        <v>8</v>
      </c>
      <c r="Z115" s="133" t="s">
        <v>102</v>
      </c>
      <c r="AA115" s="134">
        <v>0</v>
      </c>
      <c r="AB115" s="122">
        <v>0</v>
      </c>
    </row>
    <row r="116" spans="1:28" ht="14.5">
      <c r="A116" s="394">
        <f t="shared" si="4"/>
        <v>45039</v>
      </c>
      <c r="B116" s="130">
        <v>73.099999999999994</v>
      </c>
      <c r="C116" s="124">
        <v>29.43</v>
      </c>
      <c r="D116" s="128">
        <v>996.6175199999999</v>
      </c>
      <c r="E116" s="128">
        <v>1001.1</v>
      </c>
      <c r="F116" s="122">
        <v>74.99625610521008</v>
      </c>
      <c r="G116" s="113">
        <v>6.45103529121136</v>
      </c>
      <c r="H116" s="130">
        <v>10.7</v>
      </c>
      <c r="I116" s="127">
        <v>10.7</v>
      </c>
      <c r="J116" s="127">
        <v>8.6999999999999993</v>
      </c>
      <c r="K116" s="127">
        <v>14.9</v>
      </c>
      <c r="L116" s="127">
        <v>15</v>
      </c>
      <c r="M116" s="43">
        <f t="shared" si="5"/>
        <v>9.8000000000000007</v>
      </c>
      <c r="N116" s="127">
        <v>4.7</v>
      </c>
      <c r="O116" s="127">
        <v>7</v>
      </c>
      <c r="P116" s="127">
        <v>8.6999999999999993</v>
      </c>
      <c r="Q116" s="127">
        <v>10.9</v>
      </c>
      <c r="R116" s="127">
        <v>11</v>
      </c>
      <c r="S116" s="127">
        <v>10.3</v>
      </c>
      <c r="T116" s="128">
        <v>0.5</v>
      </c>
      <c r="U116" s="153">
        <v>1</v>
      </c>
      <c r="V116" s="131"/>
      <c r="W116" s="127">
        <v>4.0999999999999996</v>
      </c>
      <c r="X116" s="131">
        <v>8</v>
      </c>
      <c r="Y116" s="131">
        <v>5</v>
      </c>
      <c r="Z116" s="133" t="s">
        <v>82</v>
      </c>
      <c r="AA116" s="134">
        <v>7</v>
      </c>
      <c r="AB116" s="122">
        <v>4.9000000000000004</v>
      </c>
    </row>
    <row r="117" spans="1:28" ht="14.5">
      <c r="A117" s="394">
        <f t="shared" si="4"/>
        <v>45040</v>
      </c>
      <c r="B117" s="130">
        <v>73</v>
      </c>
      <c r="C117" s="124">
        <v>29.64</v>
      </c>
      <c r="D117" s="128">
        <v>1003.7289599999999</v>
      </c>
      <c r="E117" s="128">
        <v>1010.4</v>
      </c>
      <c r="F117" s="122">
        <v>74.029700267240869</v>
      </c>
      <c r="G117" s="113">
        <v>4.042066415524574</v>
      </c>
      <c r="H117" s="130">
        <v>8.4</v>
      </c>
      <c r="I117" s="127">
        <v>8.5</v>
      </c>
      <c r="J117" s="127">
        <v>6.5</v>
      </c>
      <c r="K117" s="127">
        <v>9.6</v>
      </c>
      <c r="L117" s="127">
        <v>9.8000000000000007</v>
      </c>
      <c r="M117" s="43">
        <f t="shared" si="5"/>
        <v>8.0500000000000007</v>
      </c>
      <c r="N117" s="127">
        <v>6.5</v>
      </c>
      <c r="O117" s="127">
        <v>5.6</v>
      </c>
      <c r="P117" s="127">
        <v>5.9</v>
      </c>
      <c r="Q117" s="127">
        <v>9.8000000000000007</v>
      </c>
      <c r="R117" s="127">
        <v>11.3</v>
      </c>
      <c r="S117" s="127">
        <v>10.3</v>
      </c>
      <c r="T117" s="128">
        <v>7</v>
      </c>
      <c r="U117" s="153">
        <v>1</v>
      </c>
      <c r="V117" s="131"/>
      <c r="W117" s="127">
        <v>0.4</v>
      </c>
      <c r="X117" s="131">
        <v>8</v>
      </c>
      <c r="Y117" s="131">
        <v>5</v>
      </c>
      <c r="Z117" s="133" t="s">
        <v>82</v>
      </c>
      <c r="AA117" s="134">
        <v>5</v>
      </c>
      <c r="AB117" s="122">
        <v>3.5</v>
      </c>
    </row>
    <row r="118" spans="1:28" ht="14.5">
      <c r="A118" s="394">
        <f t="shared" si="4"/>
        <v>45041</v>
      </c>
      <c r="B118" s="130">
        <v>72.599999999999994</v>
      </c>
      <c r="C118" s="124">
        <v>29.975999999999999</v>
      </c>
      <c r="D118" s="128">
        <v>1015.1072639999999</v>
      </c>
      <c r="E118" s="128">
        <v>1019</v>
      </c>
      <c r="F118" s="122">
        <v>59.455443252288489</v>
      </c>
      <c r="G118" s="113">
        <v>0.11091453201095117</v>
      </c>
      <c r="H118" s="130">
        <v>7.5</v>
      </c>
      <c r="I118" s="127">
        <v>7.4</v>
      </c>
      <c r="J118" s="127">
        <v>4.5999999999999996</v>
      </c>
      <c r="K118" s="127">
        <v>11.8</v>
      </c>
      <c r="L118" s="127">
        <v>11.9</v>
      </c>
      <c r="M118" s="43">
        <f t="shared" si="5"/>
        <v>6.25</v>
      </c>
      <c r="N118" s="127">
        <v>0.7</v>
      </c>
      <c r="O118" s="127">
        <v>-2.2999999999999998</v>
      </c>
      <c r="P118" s="127">
        <v>0.5</v>
      </c>
      <c r="Q118" s="127">
        <v>2.6</v>
      </c>
      <c r="R118" s="127">
        <v>10.6</v>
      </c>
      <c r="S118" s="127">
        <v>10.7</v>
      </c>
      <c r="T118" s="127">
        <v>0</v>
      </c>
      <c r="U118" s="153">
        <v>1</v>
      </c>
      <c r="V118" s="131"/>
      <c r="W118" s="128">
        <v>11</v>
      </c>
      <c r="X118" s="131">
        <v>8</v>
      </c>
      <c r="Y118" s="131">
        <v>2</v>
      </c>
      <c r="Z118" s="133" t="s">
        <v>87</v>
      </c>
      <c r="AA118" s="134">
        <v>5</v>
      </c>
      <c r="AB118" s="122">
        <v>3.5</v>
      </c>
    </row>
    <row r="119" spans="1:28" ht="14.5">
      <c r="A119" s="394">
        <f t="shared" si="4"/>
        <v>45042</v>
      </c>
      <c r="B119" s="130">
        <v>72.8</v>
      </c>
      <c r="C119" s="124">
        <v>29.923999999999999</v>
      </c>
      <c r="D119" s="128">
        <v>1013.346336</v>
      </c>
      <c r="E119" s="128">
        <v>1017.4</v>
      </c>
      <c r="F119" s="122">
        <v>58.320338023490827</v>
      </c>
      <c r="G119" s="113">
        <v>0.6911774015710076</v>
      </c>
      <c r="H119" s="130">
        <v>8.4</v>
      </c>
      <c r="I119" s="127">
        <v>8.5</v>
      </c>
      <c r="J119" s="127">
        <v>5.3</v>
      </c>
      <c r="K119" s="127">
        <v>10.6</v>
      </c>
      <c r="L119" s="127">
        <v>10.8</v>
      </c>
      <c r="M119" s="43">
        <f t="shared" si="5"/>
        <v>7.75</v>
      </c>
      <c r="N119" s="127">
        <v>4.9000000000000004</v>
      </c>
      <c r="O119" s="127">
        <v>2.5</v>
      </c>
      <c r="P119" s="127">
        <v>4.8</v>
      </c>
      <c r="Q119" s="127">
        <v>9.4</v>
      </c>
      <c r="R119" s="127">
        <v>10.9</v>
      </c>
      <c r="S119" s="127">
        <v>10.5</v>
      </c>
      <c r="T119" s="127">
        <v>0</v>
      </c>
      <c r="U119" s="153">
        <v>1</v>
      </c>
      <c r="V119" s="131"/>
      <c r="W119" s="128">
        <v>0.1</v>
      </c>
      <c r="X119" s="131">
        <v>8</v>
      </c>
      <c r="Y119" s="131">
        <v>8</v>
      </c>
      <c r="Z119" s="133" t="s">
        <v>82</v>
      </c>
      <c r="AA119" s="134">
        <v>8</v>
      </c>
      <c r="AB119" s="122">
        <v>5.6</v>
      </c>
    </row>
    <row r="120" spans="1:28" ht="14.5">
      <c r="A120" s="394">
        <f t="shared" si="4"/>
        <v>45043</v>
      </c>
      <c r="B120" s="130">
        <v>72.3</v>
      </c>
      <c r="C120" s="124">
        <v>29.844000000000001</v>
      </c>
      <c r="D120" s="128">
        <v>1010.637216</v>
      </c>
      <c r="E120" s="128">
        <v>1015.8</v>
      </c>
      <c r="F120" s="122">
        <v>64.20721719670567</v>
      </c>
      <c r="G120" s="113">
        <v>3.3611307885594148</v>
      </c>
      <c r="H120" s="130">
        <v>9.8000000000000007</v>
      </c>
      <c r="I120" s="127">
        <v>9.8000000000000007</v>
      </c>
      <c r="J120" s="127">
        <v>7</v>
      </c>
      <c r="K120" s="127">
        <v>14.4</v>
      </c>
      <c r="L120" s="127">
        <v>14.4</v>
      </c>
      <c r="M120" s="43">
        <f t="shared" si="5"/>
        <v>9.1999999999999993</v>
      </c>
      <c r="N120" s="127">
        <v>4</v>
      </c>
      <c r="O120" s="127">
        <v>1.4</v>
      </c>
      <c r="P120" s="127">
        <v>3.5</v>
      </c>
      <c r="Q120" s="127">
        <v>8.6999999999999993</v>
      </c>
      <c r="R120" s="127">
        <v>10.6</v>
      </c>
      <c r="S120" s="127">
        <v>10.5</v>
      </c>
      <c r="T120" s="127">
        <v>11.5</v>
      </c>
      <c r="U120" s="153">
        <v>1</v>
      </c>
      <c r="V120" s="131"/>
      <c r="W120" s="128">
        <v>0.3</v>
      </c>
      <c r="X120" s="131">
        <v>8</v>
      </c>
      <c r="Y120" s="131">
        <v>8</v>
      </c>
      <c r="Z120" s="133" t="s">
        <v>82</v>
      </c>
      <c r="AA120" s="134">
        <v>11</v>
      </c>
      <c r="AB120" s="122">
        <v>7.7</v>
      </c>
    </row>
    <row r="121" spans="1:28" ht="14.5">
      <c r="A121" s="394">
        <f t="shared" si="4"/>
        <v>45044</v>
      </c>
      <c r="B121" s="130">
        <v>74.099999999999994</v>
      </c>
      <c r="C121" s="124">
        <v>29.704000000000001</v>
      </c>
      <c r="D121" s="168">
        <v>1005.896256</v>
      </c>
      <c r="E121" s="168">
        <v>1010.2</v>
      </c>
      <c r="F121" s="122">
        <v>90.674229880257386</v>
      </c>
      <c r="G121" s="113">
        <v>11.709416173972889</v>
      </c>
      <c r="H121" s="130">
        <v>13.2</v>
      </c>
      <c r="I121" s="127">
        <v>13.2</v>
      </c>
      <c r="J121" s="127">
        <v>12.4</v>
      </c>
      <c r="K121" s="127">
        <v>18</v>
      </c>
      <c r="L121" s="127">
        <v>18.100000000000001</v>
      </c>
      <c r="M121" s="43">
        <f t="shared" si="5"/>
        <v>13.55</v>
      </c>
      <c r="N121" s="127">
        <v>9.1</v>
      </c>
      <c r="O121" s="127">
        <v>9.3000000000000007</v>
      </c>
      <c r="P121" s="127">
        <v>9.9</v>
      </c>
      <c r="Q121" s="127">
        <v>11.4</v>
      </c>
      <c r="R121" s="127">
        <v>11</v>
      </c>
      <c r="S121" s="127">
        <v>10.5</v>
      </c>
      <c r="T121" s="172" t="s">
        <v>93</v>
      </c>
      <c r="U121" s="153">
        <v>1</v>
      </c>
      <c r="V121" s="131"/>
      <c r="W121" s="128">
        <v>3</v>
      </c>
      <c r="X121" s="131">
        <v>7</v>
      </c>
      <c r="Y121" s="131">
        <v>8</v>
      </c>
      <c r="Z121" s="133" t="s">
        <v>90</v>
      </c>
      <c r="AA121" s="134">
        <v>10</v>
      </c>
      <c r="AB121" s="122">
        <v>7</v>
      </c>
    </row>
    <row r="122" spans="1:28" ht="14.5">
      <c r="A122" s="394">
        <f t="shared" si="4"/>
        <v>45045</v>
      </c>
      <c r="B122" s="130">
        <v>74.8</v>
      </c>
      <c r="C122" s="124">
        <v>30.021999999999998</v>
      </c>
      <c r="D122" s="128">
        <v>1016.6650079999998</v>
      </c>
      <c r="E122" s="128">
        <v>1020.5</v>
      </c>
      <c r="F122" s="122">
        <v>65.701201354166102</v>
      </c>
      <c r="G122" s="113">
        <v>8.2563817070039587</v>
      </c>
      <c r="H122" s="130">
        <v>14.6</v>
      </c>
      <c r="I122" s="127">
        <v>14.8</v>
      </c>
      <c r="J122" s="127">
        <v>11.4</v>
      </c>
      <c r="K122" s="127">
        <v>18.899999999999999</v>
      </c>
      <c r="L122" s="127">
        <v>19.100000000000001</v>
      </c>
      <c r="M122" s="43">
        <f t="shared" si="5"/>
        <v>13.2</v>
      </c>
      <c r="N122" s="127">
        <v>7.5</v>
      </c>
      <c r="O122" s="127">
        <v>4.5</v>
      </c>
      <c r="P122" s="127">
        <v>6.5</v>
      </c>
      <c r="Q122" s="127">
        <v>11.9</v>
      </c>
      <c r="R122" s="127">
        <v>12</v>
      </c>
      <c r="S122" s="127">
        <v>10.5</v>
      </c>
      <c r="T122" s="127" t="s">
        <v>93</v>
      </c>
      <c r="U122" s="153">
        <v>1</v>
      </c>
      <c r="V122" s="131"/>
      <c r="W122" s="128">
        <v>8.6</v>
      </c>
      <c r="X122" s="131">
        <v>7</v>
      </c>
      <c r="Y122" s="131">
        <v>5</v>
      </c>
      <c r="Z122" s="133" t="s">
        <v>82</v>
      </c>
      <c r="AA122" s="134">
        <v>0</v>
      </c>
      <c r="AB122" s="122">
        <v>0</v>
      </c>
    </row>
    <row r="123" spans="1:28" ht="14.5">
      <c r="A123" s="394">
        <f t="shared" si="4"/>
        <v>45046</v>
      </c>
      <c r="B123" s="130">
        <v>74.2</v>
      </c>
      <c r="C123" s="124">
        <v>29.99</v>
      </c>
      <c r="D123" s="128">
        <v>1015.5813599999999</v>
      </c>
      <c r="E123" s="128">
        <v>1021.5</v>
      </c>
      <c r="F123" s="122">
        <v>70.917364311998128</v>
      </c>
      <c r="G123" s="113">
        <v>7.370482477509281</v>
      </c>
      <c r="H123" s="130">
        <v>12.5</v>
      </c>
      <c r="I123" s="127">
        <v>12.6</v>
      </c>
      <c r="J123" s="127">
        <v>10</v>
      </c>
      <c r="K123" s="127">
        <v>15.6</v>
      </c>
      <c r="L123" s="127">
        <v>15.7</v>
      </c>
      <c r="M123" s="43">
        <f t="shared" si="5"/>
        <v>11.899999999999999</v>
      </c>
      <c r="N123" s="127">
        <v>8.1999999999999993</v>
      </c>
      <c r="O123" s="127">
        <v>6.5</v>
      </c>
      <c r="P123" s="127">
        <v>8</v>
      </c>
      <c r="Q123" s="127">
        <v>12.3</v>
      </c>
      <c r="R123" s="127">
        <v>12.9</v>
      </c>
      <c r="S123" s="127">
        <v>10.6</v>
      </c>
      <c r="T123" s="127">
        <v>0</v>
      </c>
      <c r="U123" s="153">
        <v>1</v>
      </c>
      <c r="V123" s="131"/>
      <c r="W123" s="128">
        <v>2.4</v>
      </c>
      <c r="X123" s="131">
        <v>7</v>
      </c>
      <c r="Y123" s="131">
        <v>7</v>
      </c>
      <c r="Z123" s="133" t="s">
        <v>82</v>
      </c>
      <c r="AA123" s="134">
        <v>7</v>
      </c>
      <c r="AB123" s="122">
        <v>4.9000000000000004</v>
      </c>
    </row>
    <row r="124" spans="1:28" ht="14.5">
      <c r="A124" s="394">
        <f t="shared" si="4"/>
        <v>45047</v>
      </c>
      <c r="B124" s="380">
        <v>75.2</v>
      </c>
      <c r="C124" s="111">
        <v>29.908000000000001</v>
      </c>
      <c r="D124" s="128">
        <v>1012.8045119999999</v>
      </c>
      <c r="E124" s="112">
        <v>1017.8</v>
      </c>
      <c r="F124" s="113">
        <v>77.649041224697541</v>
      </c>
      <c r="G124" s="113">
        <v>10.062670830293536</v>
      </c>
      <c r="H124" s="114">
        <v>13.9</v>
      </c>
      <c r="I124" s="115">
        <v>14</v>
      </c>
      <c r="J124" s="127">
        <v>11.9</v>
      </c>
      <c r="K124" s="115">
        <v>18.3</v>
      </c>
      <c r="L124" s="115">
        <v>18.399999999999999</v>
      </c>
      <c r="M124" s="43">
        <f t="shared" si="5"/>
        <v>13.65</v>
      </c>
      <c r="N124" s="115">
        <v>9</v>
      </c>
      <c r="O124" s="127">
        <v>6.3</v>
      </c>
      <c r="P124" s="127">
        <v>8.1999999999999993</v>
      </c>
      <c r="Q124" s="115">
        <v>12.2</v>
      </c>
      <c r="R124" s="115">
        <v>12.9</v>
      </c>
      <c r="S124" s="115">
        <v>10.9</v>
      </c>
      <c r="T124" s="117">
        <v>0</v>
      </c>
      <c r="U124" s="118">
        <v>0</v>
      </c>
      <c r="V124" s="119"/>
      <c r="W124" s="115">
        <v>4.2</v>
      </c>
      <c r="X124" s="118">
        <v>8</v>
      </c>
      <c r="Y124" s="118">
        <v>8</v>
      </c>
      <c r="Z124" s="120" t="s">
        <v>82</v>
      </c>
      <c r="AA124" s="121">
        <v>6</v>
      </c>
      <c r="AB124" s="122">
        <v>4.2</v>
      </c>
    </row>
    <row r="125" spans="1:28" ht="14.5">
      <c r="A125" s="394">
        <f t="shared" si="4"/>
        <v>45048</v>
      </c>
      <c r="B125" s="381">
        <v>75.099999999999994</v>
      </c>
      <c r="C125" s="123">
        <v>30.122</v>
      </c>
      <c r="D125" s="128">
        <v>1020.0514079999999</v>
      </c>
      <c r="E125" s="128">
        <v>1024.4000000000001</v>
      </c>
      <c r="F125" s="113">
        <v>81.516471375536241</v>
      </c>
      <c r="G125" s="113">
        <v>8.253188507176656</v>
      </c>
      <c r="H125" s="130">
        <v>11.3</v>
      </c>
      <c r="I125" s="127">
        <v>11.4</v>
      </c>
      <c r="J125" s="127">
        <v>9.8000000000000007</v>
      </c>
      <c r="K125" s="127">
        <v>15.4</v>
      </c>
      <c r="L125" s="127">
        <v>15.4</v>
      </c>
      <c r="M125" s="43">
        <f t="shared" si="5"/>
        <v>11.8</v>
      </c>
      <c r="N125" s="127">
        <v>8.1999999999999993</v>
      </c>
      <c r="O125" s="127">
        <v>3.6</v>
      </c>
      <c r="P125" s="127">
        <v>6.6</v>
      </c>
      <c r="Q125" s="127">
        <v>11.7</v>
      </c>
      <c r="R125" s="127">
        <v>11.9</v>
      </c>
      <c r="S125" s="127">
        <v>11</v>
      </c>
      <c r="T125" s="128" t="s">
        <v>93</v>
      </c>
      <c r="U125" s="131">
        <v>0</v>
      </c>
      <c r="V125" s="119"/>
      <c r="W125" s="127">
        <v>2</v>
      </c>
      <c r="X125" s="131">
        <v>8</v>
      </c>
      <c r="Y125" s="131">
        <v>6</v>
      </c>
      <c r="Z125" s="133" t="s">
        <v>82</v>
      </c>
      <c r="AA125" s="134">
        <v>4</v>
      </c>
      <c r="AB125" s="122">
        <v>2.8</v>
      </c>
    </row>
    <row r="126" spans="1:28" ht="14.5">
      <c r="A126" s="394">
        <f t="shared" si="4"/>
        <v>45049</v>
      </c>
      <c r="B126" s="159">
        <v>75</v>
      </c>
      <c r="C126" s="124">
        <v>30.19</v>
      </c>
      <c r="D126" s="128">
        <v>1022.35416</v>
      </c>
      <c r="E126" s="128">
        <v>1026.0999999999999</v>
      </c>
      <c r="F126" s="113">
        <v>58.211243365777143</v>
      </c>
      <c r="G126" s="113">
        <v>4.1399306366022515</v>
      </c>
      <c r="H126" s="130">
        <v>12.1</v>
      </c>
      <c r="I126" s="127">
        <v>12.2</v>
      </c>
      <c r="J126" s="125">
        <v>8.5</v>
      </c>
      <c r="K126" s="127">
        <v>15.8</v>
      </c>
      <c r="L126" s="127">
        <v>15.8</v>
      </c>
      <c r="M126" s="43">
        <f t="shared" si="5"/>
        <v>10.15</v>
      </c>
      <c r="N126" s="127">
        <v>4.5</v>
      </c>
      <c r="O126" s="127">
        <v>3.4</v>
      </c>
      <c r="P126" s="116">
        <v>4.5999999999999996</v>
      </c>
      <c r="Q126" s="127">
        <v>11</v>
      </c>
      <c r="R126" s="127">
        <v>12.6</v>
      </c>
      <c r="S126" s="127">
        <v>11.2</v>
      </c>
      <c r="T126" s="128">
        <v>0</v>
      </c>
      <c r="U126" s="131">
        <v>0</v>
      </c>
      <c r="V126" s="119"/>
      <c r="W126" s="127">
        <v>11.1</v>
      </c>
      <c r="X126" s="131">
        <v>8</v>
      </c>
      <c r="Y126" s="131">
        <v>3</v>
      </c>
      <c r="Z126" s="133" t="s">
        <v>82</v>
      </c>
      <c r="AA126" s="134">
        <v>11</v>
      </c>
      <c r="AB126" s="122">
        <v>7.7</v>
      </c>
    </row>
    <row r="127" spans="1:28" ht="14.5">
      <c r="A127" s="394">
        <f t="shared" si="4"/>
        <v>45050</v>
      </c>
      <c r="B127" s="159">
        <v>75.400000000000006</v>
      </c>
      <c r="C127" s="124">
        <v>29.806000000000001</v>
      </c>
      <c r="D127" s="128">
        <v>1009.350384</v>
      </c>
      <c r="E127" s="128">
        <v>1015.2</v>
      </c>
      <c r="F127" s="113">
        <v>68.038346375674649</v>
      </c>
      <c r="G127" s="113">
        <v>8.1035529238596222</v>
      </c>
      <c r="H127" s="126">
        <v>13.9</v>
      </c>
      <c r="I127" s="126">
        <v>14</v>
      </c>
      <c r="J127" s="128">
        <v>11</v>
      </c>
      <c r="K127" s="127">
        <v>18.5</v>
      </c>
      <c r="L127" s="127">
        <v>19.100000000000001</v>
      </c>
      <c r="M127" s="43">
        <f t="shared" si="5"/>
        <v>12.05</v>
      </c>
      <c r="N127" s="127">
        <v>5.6</v>
      </c>
      <c r="O127" s="127">
        <v>3.4</v>
      </c>
      <c r="P127" s="116">
        <v>6</v>
      </c>
      <c r="Q127" s="127">
        <v>11.8</v>
      </c>
      <c r="R127" s="128">
        <v>13</v>
      </c>
      <c r="S127" s="127">
        <v>11.4</v>
      </c>
      <c r="T127" s="128">
        <v>2.4</v>
      </c>
      <c r="U127" s="125">
        <v>0</v>
      </c>
      <c r="V127" s="119"/>
      <c r="W127" s="127">
        <v>4.9000000000000004</v>
      </c>
      <c r="X127" s="125">
        <v>8</v>
      </c>
      <c r="Y127" s="125">
        <v>3</v>
      </c>
      <c r="Z127" s="133" t="s">
        <v>82</v>
      </c>
      <c r="AA127" s="134">
        <v>17</v>
      </c>
      <c r="AB127" s="122">
        <v>11.9</v>
      </c>
    </row>
    <row r="128" spans="1:28" ht="14.5">
      <c r="A128" s="394">
        <f t="shared" si="4"/>
        <v>45051</v>
      </c>
      <c r="B128" s="130">
        <v>77.2</v>
      </c>
      <c r="C128" s="129">
        <v>29.81</v>
      </c>
      <c r="D128" s="128">
        <v>1009.4858399999998</v>
      </c>
      <c r="E128" s="128">
        <v>1014.4</v>
      </c>
      <c r="F128" s="122">
        <v>84.362282436328087</v>
      </c>
      <c r="G128" s="113">
        <v>11.601824226183904</v>
      </c>
      <c r="H128" s="130">
        <v>14.2</v>
      </c>
      <c r="I128" s="127">
        <v>14.1</v>
      </c>
      <c r="J128" s="127">
        <v>12.8</v>
      </c>
      <c r="K128" s="127">
        <v>19.3</v>
      </c>
      <c r="L128" s="127">
        <v>19.5</v>
      </c>
      <c r="M128" s="43">
        <f t="shared" si="5"/>
        <v>15.45</v>
      </c>
      <c r="N128" s="127">
        <v>11.6</v>
      </c>
      <c r="O128" s="127">
        <v>10</v>
      </c>
      <c r="P128" s="127">
        <v>11.1</v>
      </c>
      <c r="Q128" s="127">
        <v>14.1</v>
      </c>
      <c r="R128" s="127">
        <v>13.6</v>
      </c>
      <c r="S128" s="127">
        <v>11.4</v>
      </c>
      <c r="T128" s="128">
        <v>2.4</v>
      </c>
      <c r="U128" s="131">
        <v>1</v>
      </c>
      <c r="V128" s="119"/>
      <c r="W128" s="127">
        <v>8.1</v>
      </c>
      <c r="X128" s="131">
        <v>8</v>
      </c>
      <c r="Y128" s="131">
        <v>8</v>
      </c>
      <c r="Z128" s="133" t="s">
        <v>82</v>
      </c>
      <c r="AA128" s="134">
        <v>6</v>
      </c>
      <c r="AB128" s="122">
        <v>4.2</v>
      </c>
    </row>
    <row r="129" spans="1:28" ht="14.5">
      <c r="A129" s="394">
        <f t="shared" si="4"/>
        <v>45052</v>
      </c>
      <c r="B129" s="130">
        <v>75.2</v>
      </c>
      <c r="C129" s="129">
        <v>29.797999999999998</v>
      </c>
      <c r="D129" s="128">
        <v>1009.0794719999999</v>
      </c>
      <c r="E129" s="128">
        <v>1013.6</v>
      </c>
      <c r="F129" s="122">
        <v>94.023311373072488</v>
      </c>
      <c r="G129" s="113">
        <v>11.664017711520874</v>
      </c>
      <c r="H129" s="130">
        <v>12.6</v>
      </c>
      <c r="I129" s="127">
        <v>12.7</v>
      </c>
      <c r="J129" s="127">
        <v>12.1</v>
      </c>
      <c r="K129" s="127"/>
      <c r="L129" s="116"/>
      <c r="M129" s="43"/>
      <c r="N129" s="127">
        <v>10.8</v>
      </c>
      <c r="O129" s="127">
        <v>7.9</v>
      </c>
      <c r="P129" s="127">
        <v>10.1</v>
      </c>
      <c r="Q129" s="127">
        <v>13.3</v>
      </c>
      <c r="R129" s="127">
        <v>14.1</v>
      </c>
      <c r="S129" s="127">
        <v>11.6</v>
      </c>
      <c r="T129" s="128">
        <v>11</v>
      </c>
      <c r="U129" s="131">
        <v>1</v>
      </c>
      <c r="V129" s="119"/>
      <c r="W129" s="127">
        <v>0.2</v>
      </c>
      <c r="X129" s="131">
        <v>6</v>
      </c>
      <c r="Y129" s="131">
        <v>8</v>
      </c>
      <c r="Z129" s="133" t="s">
        <v>98</v>
      </c>
      <c r="AA129" s="134">
        <v>8</v>
      </c>
      <c r="AB129" s="122">
        <v>5.6</v>
      </c>
    </row>
    <row r="130" spans="1:28" ht="14.5">
      <c r="A130" s="394">
        <f t="shared" si="4"/>
        <v>45053</v>
      </c>
      <c r="B130" s="130">
        <v>77</v>
      </c>
      <c r="C130" s="129">
        <v>29.852</v>
      </c>
      <c r="D130" s="128">
        <v>1010.9081279999999</v>
      </c>
      <c r="E130" s="128">
        <v>1017</v>
      </c>
      <c r="F130" s="122">
        <v>85.782685531327189</v>
      </c>
      <c r="G130" s="113">
        <v>12.541910253561799</v>
      </c>
      <c r="H130" s="130">
        <v>14.9</v>
      </c>
      <c r="I130" s="127">
        <v>14.8</v>
      </c>
      <c r="J130" s="127">
        <v>13.6</v>
      </c>
      <c r="K130" s="127">
        <v>19.2</v>
      </c>
      <c r="L130" s="116" t="s">
        <v>103</v>
      </c>
      <c r="M130" s="43">
        <f t="shared" ref="M130:M193" si="6">AVERAGE(K130,N130)</f>
        <v>15.6</v>
      </c>
      <c r="N130" s="128">
        <v>12</v>
      </c>
      <c r="O130" s="127">
        <v>11.2</v>
      </c>
      <c r="P130" s="116">
        <v>12.1</v>
      </c>
      <c r="Q130" s="127">
        <v>13.8</v>
      </c>
      <c r="R130" s="127">
        <v>13.9</v>
      </c>
      <c r="S130" s="127">
        <v>11.9</v>
      </c>
      <c r="T130" s="128">
        <v>0.6</v>
      </c>
      <c r="U130" s="131">
        <v>1</v>
      </c>
      <c r="V130" s="132"/>
      <c r="W130" s="127">
        <v>7.2</v>
      </c>
      <c r="X130" s="153">
        <v>7</v>
      </c>
      <c r="Y130" s="153">
        <v>8</v>
      </c>
      <c r="Z130" s="133" t="s">
        <v>82</v>
      </c>
      <c r="AA130" s="134">
        <v>5</v>
      </c>
      <c r="AB130" s="122">
        <v>3.5</v>
      </c>
    </row>
    <row r="131" spans="1:28" ht="14.5">
      <c r="A131" s="394">
        <f t="shared" si="4"/>
        <v>45054</v>
      </c>
      <c r="B131" s="130">
        <v>76.599999999999994</v>
      </c>
      <c r="C131" s="129">
        <v>29.968</v>
      </c>
      <c r="D131" s="128">
        <v>1014.8363519999999</v>
      </c>
      <c r="E131" s="128">
        <v>1019.5</v>
      </c>
      <c r="F131" s="122">
        <v>78.983831492227466</v>
      </c>
      <c r="G131" s="113">
        <v>9.150707352913896</v>
      </c>
      <c r="H131" s="130">
        <v>12.7</v>
      </c>
      <c r="I131" s="127">
        <v>12.7</v>
      </c>
      <c r="J131" s="127">
        <v>10.9</v>
      </c>
      <c r="K131" s="127">
        <v>15.3</v>
      </c>
      <c r="L131" s="116" t="s">
        <v>103</v>
      </c>
      <c r="M131" s="43">
        <f t="shared" si="6"/>
        <v>12.95</v>
      </c>
      <c r="N131" s="127">
        <v>10.6</v>
      </c>
      <c r="O131" s="127">
        <v>7</v>
      </c>
      <c r="P131" s="127">
        <v>9.6</v>
      </c>
      <c r="Q131" s="127">
        <v>16.600000000000001</v>
      </c>
      <c r="R131" s="127">
        <v>14.5</v>
      </c>
      <c r="S131" s="127">
        <v>12.1</v>
      </c>
      <c r="T131" s="127">
        <v>14.4</v>
      </c>
      <c r="U131" s="131">
        <v>2</v>
      </c>
      <c r="V131" s="128"/>
      <c r="W131" s="128">
        <v>0</v>
      </c>
      <c r="X131" s="131">
        <v>7</v>
      </c>
      <c r="Y131" s="131">
        <v>8</v>
      </c>
      <c r="Z131" s="133" t="s">
        <v>82</v>
      </c>
      <c r="AA131" s="134">
        <v>13</v>
      </c>
      <c r="AB131" s="122">
        <v>9.1</v>
      </c>
    </row>
    <row r="132" spans="1:28" ht="14.5">
      <c r="A132" s="394">
        <f t="shared" si="4"/>
        <v>45055</v>
      </c>
      <c r="B132" s="130">
        <v>77</v>
      </c>
      <c r="C132" s="129">
        <v>29.745999999999999</v>
      </c>
      <c r="D132" s="128">
        <v>1007.3185439999999</v>
      </c>
      <c r="E132" s="128">
        <v>1011.7</v>
      </c>
      <c r="F132" s="122">
        <v>82.529278870838155</v>
      </c>
      <c r="G132" s="113">
        <v>11.856422378464078</v>
      </c>
      <c r="H132" s="130">
        <v>14.8</v>
      </c>
      <c r="I132" s="127">
        <v>14.8</v>
      </c>
      <c r="J132" s="127">
        <v>13.2</v>
      </c>
      <c r="K132" s="127">
        <v>19.3</v>
      </c>
      <c r="L132" s="116" t="s">
        <v>103</v>
      </c>
      <c r="M132" s="43">
        <f t="shared" si="6"/>
        <v>15.4</v>
      </c>
      <c r="N132" s="127">
        <v>11.5</v>
      </c>
      <c r="O132" s="127">
        <v>9.1</v>
      </c>
      <c r="P132" s="127">
        <v>10.9</v>
      </c>
      <c r="Q132" s="127">
        <v>14</v>
      </c>
      <c r="R132" s="127">
        <v>14.2</v>
      </c>
      <c r="S132" s="127">
        <v>12.1</v>
      </c>
      <c r="T132" s="128">
        <v>0.9</v>
      </c>
      <c r="U132" s="131">
        <v>1</v>
      </c>
      <c r="V132" s="135"/>
      <c r="W132" s="127">
        <v>1.6</v>
      </c>
      <c r="X132" s="131">
        <v>8</v>
      </c>
      <c r="Y132" s="131">
        <v>8</v>
      </c>
      <c r="Z132" s="133" t="s">
        <v>82</v>
      </c>
      <c r="AA132" s="134">
        <v>6</v>
      </c>
      <c r="AB132" s="122">
        <v>4.2</v>
      </c>
    </row>
    <row r="133" spans="1:28" ht="14.5">
      <c r="A133" s="394">
        <f t="shared" si="4"/>
        <v>45056</v>
      </c>
      <c r="B133" s="130">
        <v>75.5</v>
      </c>
      <c r="C133" s="129">
        <v>29.75</v>
      </c>
      <c r="D133" s="128">
        <v>1007.454</v>
      </c>
      <c r="E133" s="128">
        <v>1013.2</v>
      </c>
      <c r="F133" s="122">
        <v>72.822377552149021</v>
      </c>
      <c r="G133" s="113">
        <v>9.6851486818314036</v>
      </c>
      <c r="H133" s="130">
        <v>14.5</v>
      </c>
      <c r="I133" s="127">
        <v>14.6</v>
      </c>
      <c r="J133" s="127">
        <v>12</v>
      </c>
      <c r="K133" s="127">
        <v>17.5</v>
      </c>
      <c r="L133" s="116" t="s">
        <v>103</v>
      </c>
      <c r="M133" s="43">
        <f t="shared" si="6"/>
        <v>12.75</v>
      </c>
      <c r="N133" s="127">
        <v>8</v>
      </c>
      <c r="O133" s="127">
        <v>6.8</v>
      </c>
      <c r="P133" s="127">
        <v>7.9</v>
      </c>
      <c r="Q133" s="127">
        <v>13.9</v>
      </c>
      <c r="R133" s="127">
        <v>14.5</v>
      </c>
      <c r="S133" s="127">
        <v>12.3</v>
      </c>
      <c r="T133" s="127">
        <v>4.3</v>
      </c>
      <c r="U133" s="131">
        <v>1</v>
      </c>
      <c r="V133" s="135"/>
      <c r="W133" s="128">
        <v>7.4</v>
      </c>
      <c r="X133" s="131">
        <v>8</v>
      </c>
      <c r="Y133" s="131">
        <v>6</v>
      </c>
      <c r="Z133" s="133" t="s">
        <v>82</v>
      </c>
      <c r="AA133" s="134">
        <v>10</v>
      </c>
      <c r="AB133" s="122">
        <v>7</v>
      </c>
    </row>
    <row r="134" spans="1:28" ht="14.5">
      <c r="A134" s="394">
        <f t="shared" ref="A134:A197" si="7">A133+1</f>
        <v>45057</v>
      </c>
      <c r="B134" s="130">
        <v>76.400000000000006</v>
      </c>
      <c r="C134" s="124">
        <v>29.864000000000001</v>
      </c>
      <c r="D134" s="128">
        <v>1011.314496</v>
      </c>
      <c r="E134" s="128">
        <v>1016.1</v>
      </c>
      <c r="F134" s="122">
        <v>64.212756798166822</v>
      </c>
      <c r="G134" s="113">
        <v>7.5396976329747565</v>
      </c>
      <c r="H134" s="130">
        <v>14.2</v>
      </c>
      <c r="I134" s="127">
        <v>14.2</v>
      </c>
      <c r="J134" s="127">
        <v>10.9</v>
      </c>
      <c r="K134" s="127">
        <v>18.899999999999999</v>
      </c>
      <c r="L134" s="116" t="s">
        <v>103</v>
      </c>
      <c r="M134" s="43">
        <f t="shared" si="6"/>
        <v>13.85</v>
      </c>
      <c r="N134" s="127">
        <v>8.8000000000000007</v>
      </c>
      <c r="O134" s="127">
        <v>7</v>
      </c>
      <c r="P134" s="116">
        <v>9.1</v>
      </c>
      <c r="Q134" s="127">
        <v>14.1</v>
      </c>
      <c r="R134" s="127">
        <v>14.8</v>
      </c>
      <c r="S134" s="127">
        <v>12.6</v>
      </c>
      <c r="T134" s="127">
        <v>0.4</v>
      </c>
      <c r="U134" s="131">
        <v>0</v>
      </c>
      <c r="V134" s="135"/>
      <c r="W134" s="127">
        <v>6</v>
      </c>
      <c r="X134" s="131">
        <v>8</v>
      </c>
      <c r="Y134" s="131">
        <v>4</v>
      </c>
      <c r="Z134" s="133" t="s">
        <v>82</v>
      </c>
      <c r="AA134" s="134">
        <v>4</v>
      </c>
      <c r="AB134" s="122">
        <v>2.8</v>
      </c>
    </row>
    <row r="135" spans="1:28" ht="14.5">
      <c r="A135" s="394">
        <f t="shared" si="7"/>
        <v>45058</v>
      </c>
      <c r="B135" s="130">
        <v>77.400000000000006</v>
      </c>
      <c r="C135" s="124">
        <v>30.1</v>
      </c>
      <c r="D135" s="128">
        <v>1019.3063999999999</v>
      </c>
      <c r="E135" s="128">
        <v>1023</v>
      </c>
      <c r="F135" s="122">
        <v>74.818726639472118</v>
      </c>
      <c r="G135" s="113">
        <v>8.7360577537824273</v>
      </c>
      <c r="H135" s="130">
        <v>13.1</v>
      </c>
      <c r="I135" s="127">
        <v>13.2</v>
      </c>
      <c r="J135" s="127">
        <v>10.9</v>
      </c>
      <c r="K135" s="127">
        <v>14.3</v>
      </c>
      <c r="L135" s="116" t="s">
        <v>103</v>
      </c>
      <c r="M135" s="43">
        <f t="shared" si="6"/>
        <v>11.600000000000001</v>
      </c>
      <c r="N135" s="127">
        <v>8.9</v>
      </c>
      <c r="O135" s="127">
        <v>7.9</v>
      </c>
      <c r="P135" s="116">
        <v>9.3000000000000007</v>
      </c>
      <c r="Q135" s="127">
        <v>14</v>
      </c>
      <c r="R135" s="127">
        <v>15</v>
      </c>
      <c r="S135" s="127">
        <v>12.6</v>
      </c>
      <c r="T135" s="127">
        <v>0.2</v>
      </c>
      <c r="U135" s="131">
        <v>1</v>
      </c>
      <c r="V135" s="127"/>
      <c r="W135" s="127">
        <v>2.4</v>
      </c>
      <c r="X135" s="131">
        <v>8</v>
      </c>
      <c r="Y135" s="131">
        <v>5</v>
      </c>
      <c r="Z135" s="133" t="s">
        <v>89</v>
      </c>
      <c r="AA135" s="134">
        <v>15</v>
      </c>
      <c r="AB135" s="122">
        <v>10.5</v>
      </c>
    </row>
    <row r="136" spans="1:28" ht="14.5">
      <c r="A136" s="394">
        <f t="shared" si="7"/>
        <v>45059</v>
      </c>
      <c r="B136" s="130">
        <v>75.2</v>
      </c>
      <c r="C136" s="124">
        <v>30.228000000000002</v>
      </c>
      <c r="D136" s="128">
        <v>1023.640992</v>
      </c>
      <c r="E136" s="128">
        <v>1027.8</v>
      </c>
      <c r="F136" s="122">
        <v>84.185331249660777</v>
      </c>
      <c r="G136" s="113">
        <v>7.0626596338553984</v>
      </c>
      <c r="H136" s="130">
        <v>9.6</v>
      </c>
      <c r="I136" s="127">
        <v>9.5</v>
      </c>
      <c r="J136" s="127">
        <v>8.4</v>
      </c>
      <c r="K136" s="127">
        <v>13.7</v>
      </c>
      <c r="L136" s="116" t="s">
        <v>103</v>
      </c>
      <c r="M136" s="43">
        <f t="shared" si="6"/>
        <v>11.1</v>
      </c>
      <c r="N136" s="127">
        <v>8.5</v>
      </c>
      <c r="O136" s="116">
        <v>9.5</v>
      </c>
      <c r="P136" s="116">
        <v>9.9</v>
      </c>
      <c r="Q136" s="127">
        <v>12.7</v>
      </c>
      <c r="R136" s="127">
        <v>14.7</v>
      </c>
      <c r="S136" s="127">
        <v>12.8</v>
      </c>
      <c r="T136" s="127">
        <v>0</v>
      </c>
      <c r="U136" s="131">
        <v>1</v>
      </c>
      <c r="V136" s="119"/>
      <c r="W136" s="127">
        <v>0</v>
      </c>
      <c r="X136" s="131">
        <v>7</v>
      </c>
      <c r="Y136" s="131">
        <v>8</v>
      </c>
      <c r="Z136" s="133" t="s">
        <v>82</v>
      </c>
      <c r="AA136" s="134">
        <v>8</v>
      </c>
      <c r="AB136" s="122">
        <v>5.6</v>
      </c>
    </row>
    <row r="137" spans="1:28" ht="14.5">
      <c r="A137" s="394">
        <f t="shared" si="7"/>
        <v>45060</v>
      </c>
      <c r="B137" s="130">
        <v>77.599999999999994</v>
      </c>
      <c r="C137" s="124">
        <v>30.018000000000001</v>
      </c>
      <c r="D137" s="128">
        <v>1016.529552</v>
      </c>
      <c r="E137" s="128">
        <v>1024.5</v>
      </c>
      <c r="F137" s="122">
        <v>73.44153538044111</v>
      </c>
      <c r="G137" s="113">
        <v>8.1723779095194278</v>
      </c>
      <c r="H137" s="130">
        <v>12.8</v>
      </c>
      <c r="I137" s="127">
        <v>12.9</v>
      </c>
      <c r="J137" s="127">
        <v>10.5</v>
      </c>
      <c r="K137" s="127">
        <v>20.8</v>
      </c>
      <c r="L137" s="116" t="s">
        <v>103</v>
      </c>
      <c r="M137" s="43">
        <f t="shared" si="6"/>
        <v>14.7</v>
      </c>
      <c r="N137" s="127">
        <v>8.6</v>
      </c>
      <c r="O137" s="116">
        <v>10.199999999999999</v>
      </c>
      <c r="P137" s="116">
        <v>10.6</v>
      </c>
      <c r="Q137" s="127">
        <v>13.7</v>
      </c>
      <c r="R137" s="127">
        <v>14.4</v>
      </c>
      <c r="S137" s="127">
        <v>12.8</v>
      </c>
      <c r="T137" s="127">
        <v>0</v>
      </c>
      <c r="U137" s="131">
        <v>0</v>
      </c>
      <c r="V137" s="119"/>
      <c r="W137" s="127">
        <v>5.6</v>
      </c>
      <c r="X137" s="131">
        <v>7</v>
      </c>
      <c r="Y137" s="131">
        <v>6</v>
      </c>
      <c r="Z137" s="133" t="s">
        <v>82</v>
      </c>
      <c r="AA137" s="134">
        <v>1</v>
      </c>
      <c r="AB137" s="122">
        <v>0.7</v>
      </c>
    </row>
    <row r="138" spans="1:28" ht="14.5">
      <c r="A138" s="394">
        <f t="shared" si="7"/>
        <v>45061</v>
      </c>
      <c r="B138" s="138">
        <v>76.2</v>
      </c>
      <c r="C138" s="137">
        <v>30.032</v>
      </c>
      <c r="D138" s="128">
        <v>1017.0036479999999</v>
      </c>
      <c r="E138" s="128">
        <v>1020.6</v>
      </c>
      <c r="F138" s="122">
        <v>47.441930391917502</v>
      </c>
      <c r="G138" s="113">
        <v>1.8082229707482516</v>
      </c>
      <c r="H138" s="138">
        <v>12.7</v>
      </c>
      <c r="I138" s="136">
        <v>12.8</v>
      </c>
      <c r="J138" s="136">
        <v>8</v>
      </c>
      <c r="K138" s="136">
        <v>18.399999999999999</v>
      </c>
      <c r="L138" s="116" t="s">
        <v>103</v>
      </c>
      <c r="M138" s="43">
        <f t="shared" si="6"/>
        <v>13.95</v>
      </c>
      <c r="N138" s="136">
        <v>9.5</v>
      </c>
      <c r="O138" s="136">
        <v>8.6999999999999993</v>
      </c>
      <c r="P138" s="175">
        <v>10.5</v>
      </c>
      <c r="Q138" s="136">
        <v>14.4</v>
      </c>
      <c r="R138" s="136">
        <v>15.5</v>
      </c>
      <c r="S138" s="136">
        <v>12.9</v>
      </c>
      <c r="T138" s="136">
        <v>0</v>
      </c>
      <c r="U138" s="139">
        <v>0</v>
      </c>
      <c r="V138" s="140"/>
      <c r="W138" s="136">
        <v>11.5</v>
      </c>
      <c r="X138" s="139">
        <v>8</v>
      </c>
      <c r="Y138" s="139">
        <v>4</v>
      </c>
      <c r="Z138" s="141" t="s">
        <v>82</v>
      </c>
      <c r="AA138" s="142">
        <v>16</v>
      </c>
      <c r="AB138" s="122">
        <v>11.2</v>
      </c>
    </row>
    <row r="139" spans="1:28" ht="14.5">
      <c r="A139" s="394">
        <f t="shared" si="7"/>
        <v>45062</v>
      </c>
      <c r="B139" s="138">
        <v>76.2</v>
      </c>
      <c r="C139" s="124">
        <v>30.138000000000002</v>
      </c>
      <c r="D139" s="128">
        <v>1020.5932319999999</v>
      </c>
      <c r="E139" s="128">
        <v>1025.2</v>
      </c>
      <c r="F139" s="122">
        <v>60.444261201672468</v>
      </c>
      <c r="G139" s="113">
        <v>5.4317659746484113</v>
      </c>
      <c r="H139" s="130">
        <v>12.9</v>
      </c>
      <c r="I139" s="127">
        <v>12.9</v>
      </c>
      <c r="J139" s="127">
        <v>9.4</v>
      </c>
      <c r="K139" s="136">
        <v>16.899999999999999</v>
      </c>
      <c r="L139" s="116" t="s">
        <v>103</v>
      </c>
      <c r="M139" s="43">
        <f t="shared" si="6"/>
        <v>11.549999999999999</v>
      </c>
      <c r="N139" s="127">
        <v>6.2</v>
      </c>
      <c r="O139" s="127">
        <v>4.2</v>
      </c>
      <c r="P139" s="127">
        <v>5.0999999999999996</v>
      </c>
      <c r="Q139" s="127">
        <v>12.8</v>
      </c>
      <c r="R139" s="127">
        <v>15.1</v>
      </c>
      <c r="S139" s="127">
        <v>13</v>
      </c>
      <c r="T139" s="136">
        <v>0</v>
      </c>
      <c r="U139" s="131">
        <v>0</v>
      </c>
      <c r="V139" s="119"/>
      <c r="W139" s="136">
        <v>12.4</v>
      </c>
      <c r="X139" s="131">
        <v>8</v>
      </c>
      <c r="Y139" s="131">
        <v>4</v>
      </c>
      <c r="Z139" s="133" t="s">
        <v>82</v>
      </c>
      <c r="AA139" s="127">
        <v>12</v>
      </c>
      <c r="AB139" s="122">
        <v>8.4</v>
      </c>
    </row>
    <row r="140" spans="1:28" ht="14.5">
      <c r="A140" s="394">
        <f t="shared" si="7"/>
        <v>45063</v>
      </c>
      <c r="B140" s="138">
        <v>76.2</v>
      </c>
      <c r="C140" s="137">
        <v>30.26</v>
      </c>
      <c r="D140" s="128">
        <v>1024.7246399999999</v>
      </c>
      <c r="E140" s="128">
        <v>1029.4000000000001</v>
      </c>
      <c r="F140" s="122">
        <v>71.709586556026935</v>
      </c>
      <c r="G140" s="113">
        <v>8.3022954005479388</v>
      </c>
      <c r="H140" s="138">
        <v>13.3</v>
      </c>
      <c r="I140" s="136">
        <v>13.4</v>
      </c>
      <c r="J140" s="142">
        <v>10.8</v>
      </c>
      <c r="K140" s="127">
        <v>18</v>
      </c>
      <c r="L140" s="116" t="s">
        <v>103</v>
      </c>
      <c r="M140" s="43">
        <f t="shared" si="6"/>
        <v>11.75</v>
      </c>
      <c r="N140" s="138">
        <v>5.5</v>
      </c>
      <c r="O140" s="136">
        <v>1.5</v>
      </c>
      <c r="P140" s="175">
        <v>5.6</v>
      </c>
      <c r="Q140" s="127">
        <v>12.5</v>
      </c>
      <c r="R140" s="136">
        <v>14.8</v>
      </c>
      <c r="S140" s="142">
        <v>13.2</v>
      </c>
      <c r="T140" s="127">
        <v>0</v>
      </c>
      <c r="U140" s="143">
        <v>0</v>
      </c>
      <c r="V140" s="119"/>
      <c r="W140" s="127">
        <v>9</v>
      </c>
      <c r="X140" s="144">
        <v>8</v>
      </c>
      <c r="Y140" s="139">
        <v>8</v>
      </c>
      <c r="Z140" s="141" t="s">
        <v>87</v>
      </c>
      <c r="AA140" s="142">
        <v>6</v>
      </c>
      <c r="AB140" s="122">
        <v>4.2</v>
      </c>
    </row>
    <row r="141" spans="1:28" ht="14.5">
      <c r="A141" s="394">
        <f t="shared" si="7"/>
        <v>45064</v>
      </c>
      <c r="B141" s="130">
        <v>77.8</v>
      </c>
      <c r="C141" s="124">
        <v>30.248000000000001</v>
      </c>
      <c r="D141" s="128">
        <v>1024.318272</v>
      </c>
      <c r="E141" s="128">
        <v>1027.9000000000001</v>
      </c>
      <c r="F141" s="122">
        <v>63.084101128839876</v>
      </c>
      <c r="G141" s="113">
        <v>9.5525011452255448</v>
      </c>
      <c r="H141" s="138">
        <v>16.600000000000001</v>
      </c>
      <c r="I141" s="136">
        <v>16.600000000000001</v>
      </c>
      <c r="J141" s="136">
        <v>12.9</v>
      </c>
      <c r="K141" s="145">
        <v>20.2</v>
      </c>
      <c r="L141" s="174" t="s">
        <v>103</v>
      </c>
      <c r="M141" s="43">
        <f t="shared" si="6"/>
        <v>15.05</v>
      </c>
      <c r="N141" s="136">
        <v>9.9</v>
      </c>
      <c r="O141" s="136">
        <v>6.4</v>
      </c>
      <c r="P141" s="136">
        <v>9.6</v>
      </c>
      <c r="Q141" s="136">
        <v>14.9</v>
      </c>
      <c r="R141" s="136">
        <v>15.2</v>
      </c>
      <c r="S141" s="142">
        <v>13.4</v>
      </c>
      <c r="T141" s="127">
        <v>0</v>
      </c>
      <c r="U141" s="146">
        <v>0</v>
      </c>
      <c r="V141" s="147"/>
      <c r="W141" s="145">
        <v>9.1999999999999993</v>
      </c>
      <c r="X141" s="139">
        <v>8</v>
      </c>
      <c r="Y141" s="139">
        <v>4</v>
      </c>
      <c r="Z141" s="141" t="s">
        <v>82</v>
      </c>
      <c r="AA141" s="136">
        <v>3</v>
      </c>
      <c r="AB141" s="148">
        <v>2.1</v>
      </c>
    </row>
    <row r="142" spans="1:28" ht="14.5">
      <c r="A142" s="394">
        <f t="shared" si="7"/>
        <v>45065</v>
      </c>
      <c r="B142" s="138">
        <v>76.8</v>
      </c>
      <c r="C142" s="137">
        <v>30.202000000000002</v>
      </c>
      <c r="D142" s="128">
        <v>1022.760528</v>
      </c>
      <c r="E142" s="128">
        <v>1026.5</v>
      </c>
      <c r="F142" s="122">
        <v>72.145105685187687</v>
      </c>
      <c r="G142" s="149">
        <v>9.9307912664378826</v>
      </c>
      <c r="H142" s="130">
        <v>14.9</v>
      </c>
      <c r="I142" s="127">
        <v>15</v>
      </c>
      <c r="J142" s="127">
        <v>12.3</v>
      </c>
      <c r="K142" s="128">
        <v>17.7</v>
      </c>
      <c r="L142" s="176" t="s">
        <v>103</v>
      </c>
      <c r="M142" s="43">
        <f t="shared" si="6"/>
        <v>14.8</v>
      </c>
      <c r="N142" s="127">
        <v>11.9</v>
      </c>
      <c r="O142" s="127">
        <v>11.5</v>
      </c>
      <c r="P142" s="116">
        <v>12.7</v>
      </c>
      <c r="Q142" s="127">
        <v>15.9</v>
      </c>
      <c r="R142" s="127">
        <v>15.9</v>
      </c>
      <c r="S142" s="127">
        <v>13.4</v>
      </c>
      <c r="T142" s="150">
        <v>14.7</v>
      </c>
      <c r="U142" s="131">
        <v>0</v>
      </c>
      <c r="V142" s="119"/>
      <c r="W142" s="127">
        <v>4.9000000000000004</v>
      </c>
      <c r="X142" s="131">
        <v>8</v>
      </c>
      <c r="Y142" s="131">
        <v>3</v>
      </c>
      <c r="Z142" s="133" t="s">
        <v>89</v>
      </c>
      <c r="AA142" s="127">
        <v>4</v>
      </c>
      <c r="AB142" s="122">
        <v>2.8</v>
      </c>
    </row>
    <row r="143" spans="1:28" ht="14.5">
      <c r="A143" s="394">
        <f t="shared" si="7"/>
        <v>45066</v>
      </c>
      <c r="B143" s="382">
        <v>73.2</v>
      </c>
      <c r="C143" s="151">
        <v>30.155999999999999</v>
      </c>
      <c r="D143" s="128">
        <v>1021.2027839999998</v>
      </c>
      <c r="E143" s="128">
        <v>1026.2</v>
      </c>
      <c r="F143" s="122">
        <v>69.745915812633825</v>
      </c>
      <c r="G143" s="152">
        <v>8.0854662409286089</v>
      </c>
      <c r="H143" s="126">
        <v>13.5</v>
      </c>
      <c r="I143" s="125">
        <v>13.6</v>
      </c>
      <c r="J143" s="125">
        <v>10.8</v>
      </c>
      <c r="K143" s="127">
        <v>19.2</v>
      </c>
      <c r="L143" s="116" t="s">
        <v>103</v>
      </c>
      <c r="M143" s="43">
        <f t="shared" si="6"/>
        <v>13</v>
      </c>
      <c r="N143" s="125">
        <v>6.8</v>
      </c>
      <c r="O143" s="125">
        <v>4.5</v>
      </c>
      <c r="P143" s="170">
        <v>7</v>
      </c>
      <c r="Q143" s="128">
        <v>13.8</v>
      </c>
      <c r="R143" s="125">
        <v>15.5</v>
      </c>
      <c r="S143" s="128">
        <v>13.5</v>
      </c>
      <c r="T143" s="127" t="s">
        <v>93</v>
      </c>
      <c r="U143" s="153">
        <v>1</v>
      </c>
      <c r="V143" s="135"/>
      <c r="W143" s="127">
        <v>12.5</v>
      </c>
      <c r="X143" s="125">
        <v>8</v>
      </c>
      <c r="Y143" s="125">
        <v>1</v>
      </c>
      <c r="Z143" s="154" t="s">
        <v>82</v>
      </c>
      <c r="AA143" s="128">
        <v>10</v>
      </c>
      <c r="AB143" s="155">
        <v>7</v>
      </c>
    </row>
    <row r="144" spans="1:28" ht="14.5">
      <c r="A144" s="394">
        <f t="shared" si="7"/>
        <v>45067</v>
      </c>
      <c r="B144" s="159">
        <v>75.400000000000006</v>
      </c>
      <c r="C144" s="157">
        <v>30.052</v>
      </c>
      <c r="D144" s="128">
        <v>1017.6809279999999</v>
      </c>
      <c r="E144" s="136">
        <v>1023.8</v>
      </c>
      <c r="F144" s="158">
        <v>57.227274865464615</v>
      </c>
      <c r="G144" s="122">
        <v>7.268304059787086</v>
      </c>
      <c r="H144" s="159">
        <v>15.7</v>
      </c>
      <c r="I144" s="156">
        <v>15.9</v>
      </c>
      <c r="J144" s="156">
        <v>11.5</v>
      </c>
      <c r="K144" s="127">
        <v>19.5</v>
      </c>
      <c r="L144" s="178" t="s">
        <v>103</v>
      </c>
      <c r="M144" s="43">
        <f t="shared" si="6"/>
        <v>12.45</v>
      </c>
      <c r="N144" s="156">
        <v>5.4</v>
      </c>
      <c r="O144" s="156">
        <v>1.4</v>
      </c>
      <c r="P144" s="156">
        <v>6</v>
      </c>
      <c r="Q144" s="160">
        <v>13.9</v>
      </c>
      <c r="R144" s="156">
        <v>15.9</v>
      </c>
      <c r="S144" s="156">
        <v>13.5</v>
      </c>
      <c r="T144" s="156">
        <v>0</v>
      </c>
      <c r="U144" s="161">
        <v>1</v>
      </c>
      <c r="V144" s="162"/>
      <c r="W144" s="160">
        <v>14.25</v>
      </c>
      <c r="X144" s="163">
        <v>8</v>
      </c>
      <c r="Y144" s="163">
        <v>1</v>
      </c>
      <c r="Z144" s="164" t="s">
        <v>82</v>
      </c>
      <c r="AA144" s="165">
        <v>12</v>
      </c>
      <c r="AB144" s="166">
        <v>8.4</v>
      </c>
    </row>
    <row r="145" spans="1:28" ht="14.5">
      <c r="A145" s="394">
        <f t="shared" si="7"/>
        <v>45068</v>
      </c>
      <c r="B145" s="130">
        <v>75.2</v>
      </c>
      <c r="C145" s="124">
        <v>30.056000000000001</v>
      </c>
      <c r="D145" s="179">
        <v>1017.816384</v>
      </c>
      <c r="E145" s="180">
        <v>1021.9</v>
      </c>
      <c r="F145" s="113">
        <v>61.776679424226757</v>
      </c>
      <c r="G145" s="167">
        <v>6.6910635147638127</v>
      </c>
      <c r="H145" s="130">
        <v>13.9</v>
      </c>
      <c r="I145" s="127">
        <v>14</v>
      </c>
      <c r="J145" s="127">
        <v>10.4</v>
      </c>
      <c r="K145" s="110">
        <v>20.8</v>
      </c>
      <c r="L145" s="116" t="s">
        <v>103</v>
      </c>
      <c r="M145" s="43">
        <f t="shared" si="6"/>
        <v>15.350000000000001</v>
      </c>
      <c r="N145" s="127">
        <v>9.9</v>
      </c>
      <c r="O145" s="127">
        <v>5.5</v>
      </c>
      <c r="P145" s="116">
        <v>10.4</v>
      </c>
      <c r="Q145" s="127">
        <v>14.9</v>
      </c>
      <c r="R145" s="127">
        <v>16.2</v>
      </c>
      <c r="S145" s="127">
        <v>13.8</v>
      </c>
      <c r="T145" s="127">
        <v>0</v>
      </c>
      <c r="U145" s="153">
        <v>0</v>
      </c>
      <c r="V145" s="131"/>
      <c r="W145" s="128">
        <v>7.4</v>
      </c>
      <c r="X145" s="153">
        <v>8</v>
      </c>
      <c r="Y145" s="153">
        <v>8</v>
      </c>
      <c r="Z145" s="133" t="s">
        <v>82</v>
      </c>
      <c r="AA145" s="134">
        <v>10</v>
      </c>
      <c r="AB145" s="122">
        <v>7</v>
      </c>
    </row>
    <row r="146" spans="1:28" ht="14.5">
      <c r="A146" s="394">
        <f t="shared" si="7"/>
        <v>45069</v>
      </c>
      <c r="B146" s="130">
        <v>74.599999999999994</v>
      </c>
      <c r="C146" s="124">
        <v>30</v>
      </c>
      <c r="D146" s="179">
        <v>1015.92</v>
      </c>
      <c r="E146" s="180">
        <v>1027.0999999999999</v>
      </c>
      <c r="F146" s="113">
        <v>60.251794777407554</v>
      </c>
      <c r="G146" s="113">
        <v>6.7047757036625537</v>
      </c>
      <c r="H146" s="130">
        <v>14.3</v>
      </c>
      <c r="I146" s="127">
        <v>14.4</v>
      </c>
      <c r="J146" s="127">
        <v>10.6</v>
      </c>
      <c r="K146" s="127">
        <v>18.100000000000001</v>
      </c>
      <c r="L146" s="116" t="s">
        <v>103</v>
      </c>
      <c r="M146" s="43">
        <f t="shared" si="6"/>
        <v>12.700000000000001</v>
      </c>
      <c r="N146" s="127">
        <v>7.3</v>
      </c>
      <c r="O146" s="127">
        <v>4</v>
      </c>
      <c r="P146" s="127">
        <v>7.9</v>
      </c>
      <c r="Q146" s="127">
        <v>14.6</v>
      </c>
      <c r="R146" s="127">
        <v>16.399999999999999</v>
      </c>
      <c r="S146" s="127">
        <v>13.9</v>
      </c>
      <c r="T146" s="128">
        <v>0</v>
      </c>
      <c r="U146" s="153">
        <v>0</v>
      </c>
      <c r="V146" s="131"/>
      <c r="W146" s="127">
        <v>4.7</v>
      </c>
      <c r="X146" s="131">
        <v>8</v>
      </c>
      <c r="Y146" s="131">
        <v>1</v>
      </c>
      <c r="Z146" s="133" t="s">
        <v>82</v>
      </c>
      <c r="AA146" s="177">
        <v>0</v>
      </c>
      <c r="AB146" s="122">
        <v>0</v>
      </c>
    </row>
    <row r="147" spans="1:28" ht="14.5">
      <c r="A147" s="394">
        <f t="shared" si="7"/>
        <v>45070</v>
      </c>
      <c r="B147" s="130">
        <v>74.2</v>
      </c>
      <c r="C147" s="124">
        <v>30.181999999999999</v>
      </c>
      <c r="D147" s="179">
        <v>1022.0832479999999</v>
      </c>
      <c r="E147" s="180">
        <v>1026.5</v>
      </c>
      <c r="F147" s="113">
        <v>63.383052066170677</v>
      </c>
      <c r="G147" s="113">
        <v>8.2967932406417084</v>
      </c>
      <c r="H147" s="130">
        <v>15.2</v>
      </c>
      <c r="I147" s="127">
        <v>15.3</v>
      </c>
      <c r="J147" s="127">
        <v>11.7</v>
      </c>
      <c r="K147" s="127">
        <v>21.6</v>
      </c>
      <c r="L147" s="116" t="s">
        <v>103</v>
      </c>
      <c r="M147" s="43">
        <f t="shared" si="6"/>
        <v>15.05</v>
      </c>
      <c r="N147" s="127">
        <v>8.5</v>
      </c>
      <c r="O147" s="127">
        <v>5.7</v>
      </c>
      <c r="P147" s="116">
        <v>9</v>
      </c>
      <c r="Q147" s="127">
        <v>15.2</v>
      </c>
      <c r="R147" s="127">
        <v>16.399999999999999</v>
      </c>
      <c r="S147" s="127">
        <v>14.1</v>
      </c>
      <c r="T147" s="128">
        <v>0</v>
      </c>
      <c r="U147" s="153">
        <v>0</v>
      </c>
      <c r="V147" s="131"/>
      <c r="W147" s="127">
        <v>13.5</v>
      </c>
      <c r="X147" s="131">
        <v>8</v>
      </c>
      <c r="Y147" s="131">
        <v>2</v>
      </c>
      <c r="Z147" s="133" t="s">
        <v>82</v>
      </c>
      <c r="AA147" s="134">
        <v>9</v>
      </c>
      <c r="AB147" s="122">
        <v>6.3000000000000007</v>
      </c>
    </row>
    <row r="148" spans="1:28" ht="14.5">
      <c r="A148" s="394">
        <f t="shared" si="7"/>
        <v>45071</v>
      </c>
      <c r="B148" s="130">
        <v>75.2</v>
      </c>
      <c r="C148" s="124">
        <v>30.277999999999999</v>
      </c>
      <c r="D148" s="179">
        <v>1025.3341919999998</v>
      </c>
      <c r="E148" s="180">
        <v>1029.4000000000001</v>
      </c>
      <c r="F148" s="113">
        <v>61.211468492098753</v>
      </c>
      <c r="G148" s="113">
        <v>9.1048120295707822</v>
      </c>
      <c r="H148" s="130">
        <v>16.600000000000001</v>
      </c>
      <c r="I148" s="127">
        <v>16.8</v>
      </c>
      <c r="J148" s="127">
        <v>12.7</v>
      </c>
      <c r="K148" s="127">
        <v>18.7</v>
      </c>
      <c r="L148" s="116" t="s">
        <v>103</v>
      </c>
      <c r="M148" s="43">
        <f t="shared" si="6"/>
        <v>14.55</v>
      </c>
      <c r="N148" s="127">
        <v>10.4</v>
      </c>
      <c r="O148" s="127">
        <v>8.4</v>
      </c>
      <c r="P148" s="127">
        <v>11</v>
      </c>
      <c r="Q148" s="127">
        <v>16.899999999999999</v>
      </c>
      <c r="R148" s="127">
        <v>17</v>
      </c>
      <c r="S148" s="127">
        <v>14.1</v>
      </c>
      <c r="T148" s="127">
        <v>0</v>
      </c>
      <c r="U148" s="153">
        <v>0</v>
      </c>
      <c r="V148" s="131"/>
      <c r="W148" s="128">
        <v>12.8</v>
      </c>
      <c r="X148" s="131">
        <v>8</v>
      </c>
      <c r="Y148" s="131">
        <v>1</v>
      </c>
      <c r="Z148" s="133" t="s">
        <v>82</v>
      </c>
      <c r="AA148" s="134">
        <v>10</v>
      </c>
      <c r="AB148" s="122">
        <v>7</v>
      </c>
    </row>
    <row r="149" spans="1:28" ht="14.5">
      <c r="A149" s="394">
        <f t="shared" si="7"/>
        <v>45072</v>
      </c>
      <c r="B149" s="130">
        <v>72</v>
      </c>
      <c r="C149" s="124">
        <v>30.35</v>
      </c>
      <c r="D149" s="179">
        <v>1027.7724000000001</v>
      </c>
      <c r="E149" s="181">
        <v>1032</v>
      </c>
      <c r="F149" s="113">
        <v>57.508320111964949</v>
      </c>
      <c r="G149" s="113">
        <v>6.2159173701282269</v>
      </c>
      <c r="H149" s="130">
        <v>14.5</v>
      </c>
      <c r="I149" s="127">
        <v>14.7</v>
      </c>
      <c r="J149" s="127">
        <v>10.5</v>
      </c>
      <c r="K149" s="127">
        <v>19.899999999999999</v>
      </c>
      <c r="L149" s="116" t="s">
        <v>103</v>
      </c>
      <c r="M149" s="43">
        <f t="shared" si="6"/>
        <v>13.549999999999999</v>
      </c>
      <c r="N149" s="127">
        <v>7.2</v>
      </c>
      <c r="O149" s="127">
        <v>4.0999999999999996</v>
      </c>
      <c r="P149" s="127">
        <v>8.3000000000000007</v>
      </c>
      <c r="Q149" s="127">
        <v>16.2</v>
      </c>
      <c r="R149" s="127">
        <v>17.3</v>
      </c>
      <c r="S149" s="127">
        <v>14.2</v>
      </c>
      <c r="T149" s="127">
        <v>0</v>
      </c>
      <c r="U149" s="153">
        <v>0</v>
      </c>
      <c r="V149" s="131"/>
      <c r="W149" s="128">
        <v>14.5</v>
      </c>
      <c r="X149" s="131">
        <v>8</v>
      </c>
      <c r="Y149" s="131">
        <v>0</v>
      </c>
      <c r="Z149" s="133" t="s">
        <v>82</v>
      </c>
      <c r="AA149" s="134">
        <v>12</v>
      </c>
      <c r="AB149" s="122">
        <v>8.4</v>
      </c>
    </row>
    <row r="150" spans="1:28" ht="14.5">
      <c r="A150" s="394">
        <f t="shared" si="7"/>
        <v>45073</v>
      </c>
      <c r="B150" s="130">
        <v>73.900000000000006</v>
      </c>
      <c r="C150" s="124">
        <v>30.234000000000002</v>
      </c>
      <c r="D150" s="179">
        <v>1023.8441759999999</v>
      </c>
      <c r="E150" s="180">
        <v>1027.9000000000001</v>
      </c>
      <c r="F150" s="113">
        <v>70.917364311998128</v>
      </c>
      <c r="G150" s="113">
        <v>7.370482477509281</v>
      </c>
      <c r="H150" s="130">
        <v>12.5</v>
      </c>
      <c r="I150" s="127">
        <v>12.6</v>
      </c>
      <c r="J150" s="127">
        <v>10</v>
      </c>
      <c r="K150" s="127">
        <v>20.399999999999999</v>
      </c>
      <c r="L150" s="116" t="s">
        <v>103</v>
      </c>
      <c r="M150" s="43">
        <f t="shared" si="6"/>
        <v>13.049999999999999</v>
      </c>
      <c r="N150" s="127">
        <v>5.7</v>
      </c>
      <c r="O150" s="127">
        <v>1.6</v>
      </c>
      <c r="P150" s="127">
        <v>7</v>
      </c>
      <c r="Q150" s="127">
        <v>16.600000000000001</v>
      </c>
      <c r="R150" s="127">
        <v>17.5</v>
      </c>
      <c r="S150" s="127">
        <v>14.5</v>
      </c>
      <c r="T150" s="127">
        <v>0</v>
      </c>
      <c r="U150" s="153">
        <v>0</v>
      </c>
      <c r="V150" s="131"/>
      <c r="W150" s="128">
        <v>12</v>
      </c>
      <c r="X150" s="131">
        <v>8</v>
      </c>
      <c r="Y150" s="131">
        <v>1</v>
      </c>
      <c r="Z150" s="133" t="s">
        <v>82</v>
      </c>
      <c r="AA150" s="134">
        <v>12</v>
      </c>
      <c r="AB150" s="122">
        <v>8.4</v>
      </c>
    </row>
    <row r="151" spans="1:28" ht="14.5">
      <c r="A151" s="394">
        <f t="shared" si="7"/>
        <v>45074</v>
      </c>
      <c r="B151" s="130">
        <v>75.8</v>
      </c>
      <c r="C151" s="124">
        <v>30.102</v>
      </c>
      <c r="D151" s="179">
        <v>1019.3741279999999</v>
      </c>
      <c r="E151" s="180">
        <v>1023.3</v>
      </c>
      <c r="F151" s="113">
        <v>61.157565338226291</v>
      </c>
      <c r="G151" s="113">
        <v>10.506161471442928</v>
      </c>
      <c r="H151" s="130">
        <v>18.100000000000001</v>
      </c>
      <c r="I151" s="127">
        <v>18.3</v>
      </c>
      <c r="J151" s="127">
        <v>14</v>
      </c>
      <c r="K151" s="127">
        <v>21.8</v>
      </c>
      <c r="L151" s="116" t="s">
        <v>103</v>
      </c>
      <c r="M151" s="43">
        <f t="shared" si="6"/>
        <v>14.95</v>
      </c>
      <c r="N151" s="127">
        <v>8.1</v>
      </c>
      <c r="O151" s="127">
        <v>6.3</v>
      </c>
      <c r="P151" s="127">
        <v>8.9</v>
      </c>
      <c r="Q151" s="127">
        <v>17.600000000000001</v>
      </c>
      <c r="R151" s="127">
        <v>17.7</v>
      </c>
      <c r="S151" s="127">
        <v>14.6</v>
      </c>
      <c r="T151" s="127">
        <v>0</v>
      </c>
      <c r="U151" s="153">
        <v>0</v>
      </c>
      <c r="V151" s="131"/>
      <c r="W151" s="128">
        <v>9.3000000000000007</v>
      </c>
      <c r="X151" s="131">
        <v>8</v>
      </c>
      <c r="Y151" s="131">
        <v>5</v>
      </c>
      <c r="Z151" s="133" t="s">
        <v>82</v>
      </c>
      <c r="AA151" s="134">
        <v>11</v>
      </c>
      <c r="AB151" s="122">
        <v>7.7</v>
      </c>
    </row>
    <row r="152" spans="1:28" ht="14.5">
      <c r="A152" s="394">
        <f t="shared" si="7"/>
        <v>45075</v>
      </c>
      <c r="B152" s="130">
        <v>74.3</v>
      </c>
      <c r="C152" s="124">
        <v>30.271999999999998</v>
      </c>
      <c r="D152" s="179">
        <v>1025.1310079999998</v>
      </c>
      <c r="E152" s="180">
        <v>1027.7</v>
      </c>
      <c r="F152" s="113">
        <v>60.836600994970134</v>
      </c>
      <c r="G152" s="113">
        <v>5.0533053173492108</v>
      </c>
      <c r="H152" s="130">
        <v>12.4</v>
      </c>
      <c r="I152" s="127">
        <v>12.6</v>
      </c>
      <c r="J152" s="127">
        <v>9</v>
      </c>
      <c r="K152" s="127">
        <v>18</v>
      </c>
      <c r="L152" s="116" t="s">
        <v>103</v>
      </c>
      <c r="M152" s="43">
        <f t="shared" si="6"/>
        <v>12.3</v>
      </c>
      <c r="N152" s="127">
        <v>6.6</v>
      </c>
      <c r="O152" s="127">
        <v>2.4</v>
      </c>
      <c r="P152" s="127">
        <v>7.5</v>
      </c>
      <c r="Q152" s="127">
        <v>16.8</v>
      </c>
      <c r="R152" s="127">
        <v>17.600000000000001</v>
      </c>
      <c r="S152" s="127">
        <v>14.8</v>
      </c>
      <c r="T152" s="127">
        <v>0</v>
      </c>
      <c r="U152" s="153">
        <v>0</v>
      </c>
      <c r="V152" s="131"/>
      <c r="W152" s="128">
        <v>11.2</v>
      </c>
      <c r="X152" s="131">
        <v>8</v>
      </c>
      <c r="Y152" s="131">
        <v>7</v>
      </c>
      <c r="Z152" s="133" t="s">
        <v>87</v>
      </c>
      <c r="AA152" s="134">
        <v>15</v>
      </c>
      <c r="AB152" s="122">
        <v>10.5</v>
      </c>
    </row>
    <row r="153" spans="1:28" ht="14.5">
      <c r="A153" s="394">
        <f t="shared" si="7"/>
        <v>45076</v>
      </c>
      <c r="B153" s="130">
        <v>73.8</v>
      </c>
      <c r="C153" s="124">
        <v>30.31</v>
      </c>
      <c r="D153" s="179">
        <v>1026.4178399999998</v>
      </c>
      <c r="E153" s="180">
        <v>1030.0999999999999</v>
      </c>
      <c r="F153" s="113">
        <v>63.546045670770432</v>
      </c>
      <c r="G153" s="113">
        <v>6.0597752404986149</v>
      </c>
      <c r="H153" s="130">
        <v>12.8</v>
      </c>
      <c r="I153" s="127">
        <v>13</v>
      </c>
      <c r="J153" s="127">
        <v>9.6</v>
      </c>
      <c r="K153" s="127">
        <v>17</v>
      </c>
      <c r="L153" s="116" t="s">
        <v>103</v>
      </c>
      <c r="M153" s="43">
        <f t="shared" si="6"/>
        <v>11.85</v>
      </c>
      <c r="N153" s="127">
        <v>6.7</v>
      </c>
      <c r="O153" s="127">
        <v>2.1</v>
      </c>
      <c r="P153" s="127">
        <v>7.3</v>
      </c>
      <c r="Q153" s="127">
        <v>16.3</v>
      </c>
      <c r="R153" s="127">
        <v>17</v>
      </c>
      <c r="S153" s="127">
        <v>15</v>
      </c>
      <c r="T153" s="127">
        <v>0.1</v>
      </c>
      <c r="U153" s="153">
        <v>0</v>
      </c>
      <c r="V153" s="131"/>
      <c r="W153" s="128">
        <v>5.7</v>
      </c>
      <c r="X153" s="131">
        <v>8</v>
      </c>
      <c r="Y153" s="131">
        <v>3</v>
      </c>
      <c r="Z153" s="133" t="s">
        <v>89</v>
      </c>
      <c r="AA153" s="134">
        <v>15</v>
      </c>
      <c r="AB153" s="122">
        <v>10.5</v>
      </c>
    </row>
    <row r="154" spans="1:28" ht="14.5">
      <c r="A154" s="394">
        <f t="shared" si="7"/>
        <v>45077</v>
      </c>
      <c r="B154" s="130">
        <v>71.2</v>
      </c>
      <c r="C154" s="124">
        <v>30.22</v>
      </c>
      <c r="D154" s="179">
        <v>1023.3700799999999</v>
      </c>
      <c r="E154" s="180">
        <v>1027.8</v>
      </c>
      <c r="F154" s="113">
        <v>87.629175821312614</v>
      </c>
      <c r="G154" s="113">
        <v>9.4213066789908861</v>
      </c>
      <c r="H154" s="130">
        <v>11.4</v>
      </c>
      <c r="I154" s="127">
        <v>11.6</v>
      </c>
      <c r="J154" s="127">
        <v>10.4</v>
      </c>
      <c r="K154" s="127">
        <v>16.2</v>
      </c>
      <c r="L154" s="127" t="s">
        <v>103</v>
      </c>
      <c r="M154" s="43">
        <f t="shared" si="6"/>
        <v>12.75</v>
      </c>
      <c r="N154" s="127">
        <v>9.3000000000000007</v>
      </c>
      <c r="O154" s="127">
        <v>9</v>
      </c>
      <c r="P154" s="127">
        <v>11.1</v>
      </c>
      <c r="Q154" s="127">
        <v>16.600000000000001</v>
      </c>
      <c r="R154" s="127">
        <v>17.100000000000001</v>
      </c>
      <c r="S154" s="127">
        <v>15</v>
      </c>
      <c r="T154" s="127">
        <v>0</v>
      </c>
      <c r="U154" s="153">
        <v>1</v>
      </c>
      <c r="V154" s="131"/>
      <c r="W154" s="128">
        <v>2.25</v>
      </c>
      <c r="X154" s="131">
        <v>8</v>
      </c>
      <c r="Y154" s="131">
        <v>8</v>
      </c>
      <c r="Z154" s="133" t="s">
        <v>82</v>
      </c>
      <c r="AA154" s="134">
        <v>16</v>
      </c>
      <c r="AB154" s="122">
        <v>11.2</v>
      </c>
    </row>
    <row r="155" spans="1:28" ht="14.5">
      <c r="A155" s="394">
        <f t="shared" si="7"/>
        <v>45078</v>
      </c>
      <c r="B155" s="380">
        <v>70</v>
      </c>
      <c r="C155" s="111">
        <v>30.166</v>
      </c>
      <c r="D155" s="128">
        <v>1021.5414239999999</v>
      </c>
      <c r="E155" s="112" t="s">
        <v>103</v>
      </c>
      <c r="F155" s="113">
        <v>76.976246851885719</v>
      </c>
      <c r="G155" s="113">
        <v>7.7027458556122044</v>
      </c>
      <c r="H155" s="114">
        <v>11.6</v>
      </c>
      <c r="I155" s="115">
        <v>11.7</v>
      </c>
      <c r="J155" s="127">
        <v>9.6999999999999993</v>
      </c>
      <c r="K155" s="115">
        <v>17.3</v>
      </c>
      <c r="L155" s="115" t="s">
        <v>103</v>
      </c>
      <c r="M155" s="43">
        <f t="shared" si="6"/>
        <v>13.4</v>
      </c>
      <c r="N155" s="115">
        <v>9.5</v>
      </c>
      <c r="O155" s="127">
        <v>10.1</v>
      </c>
      <c r="P155" s="127">
        <v>11.6</v>
      </c>
      <c r="Q155" s="115">
        <v>15.9</v>
      </c>
      <c r="R155" s="115">
        <v>16.899999999999999</v>
      </c>
      <c r="S155" s="115">
        <v>15.1</v>
      </c>
      <c r="T155" s="117">
        <v>0</v>
      </c>
      <c r="U155" s="118">
        <v>0</v>
      </c>
      <c r="V155" s="119"/>
      <c r="W155" s="115">
        <v>5.3</v>
      </c>
      <c r="X155" s="118">
        <v>8</v>
      </c>
      <c r="Y155" s="118">
        <v>8</v>
      </c>
      <c r="Z155" s="120" t="s">
        <v>82</v>
      </c>
      <c r="AA155" s="121">
        <v>14</v>
      </c>
      <c r="AB155" s="122">
        <v>9.8000000000000007</v>
      </c>
    </row>
    <row r="156" spans="1:28" ht="14.5">
      <c r="A156" s="394">
        <f t="shared" si="7"/>
        <v>45079</v>
      </c>
      <c r="B156" s="381">
        <v>69.599999999999994</v>
      </c>
      <c r="C156" s="123">
        <v>30.152000000000001</v>
      </c>
      <c r="D156" s="128">
        <v>1021.067328</v>
      </c>
      <c r="E156" s="128" t="s">
        <v>103</v>
      </c>
      <c r="F156" s="113">
        <v>69.312776935803441</v>
      </c>
      <c r="G156" s="113">
        <v>5.5993341156456964</v>
      </c>
      <c r="H156" s="130">
        <v>11</v>
      </c>
      <c r="I156" s="127">
        <v>11.1</v>
      </c>
      <c r="J156" s="127">
        <v>8.5</v>
      </c>
      <c r="K156" s="127">
        <v>17.8</v>
      </c>
      <c r="L156" s="127" t="s">
        <v>103</v>
      </c>
      <c r="M156" s="43">
        <f t="shared" si="6"/>
        <v>13.75</v>
      </c>
      <c r="N156" s="127">
        <v>9.6999999999999993</v>
      </c>
      <c r="O156" s="127">
        <v>10.4</v>
      </c>
      <c r="P156" s="127">
        <v>11.7</v>
      </c>
      <c r="Q156" s="127">
        <v>16.100000000000001</v>
      </c>
      <c r="R156" s="127">
        <v>16.899999999999999</v>
      </c>
      <c r="S156" s="127">
        <v>15</v>
      </c>
      <c r="T156" s="128">
        <v>0</v>
      </c>
      <c r="U156" s="131">
        <v>0</v>
      </c>
      <c r="V156" s="119"/>
      <c r="W156" s="127">
        <v>9</v>
      </c>
      <c r="X156" s="131">
        <v>8</v>
      </c>
      <c r="Y156" s="131">
        <v>8</v>
      </c>
      <c r="Z156" s="133" t="s">
        <v>82</v>
      </c>
      <c r="AA156" s="134">
        <v>13</v>
      </c>
      <c r="AB156" s="122">
        <v>9.1</v>
      </c>
    </row>
    <row r="157" spans="1:28" ht="14.5">
      <c r="A157" s="394">
        <f t="shared" si="7"/>
        <v>45080</v>
      </c>
      <c r="B157" s="159">
        <v>69.099999999999994</v>
      </c>
      <c r="C157" s="124">
        <v>30.111999999999998</v>
      </c>
      <c r="D157" s="128">
        <v>1019.7127679999999</v>
      </c>
      <c r="E157" s="128" t="s">
        <v>103</v>
      </c>
      <c r="F157" s="113">
        <v>70.920488212503756</v>
      </c>
      <c r="G157" s="113">
        <v>8.4274011361846934</v>
      </c>
      <c r="H157" s="130">
        <v>13.6</v>
      </c>
      <c r="I157" s="127">
        <v>13.5</v>
      </c>
      <c r="J157" s="125">
        <v>11</v>
      </c>
      <c r="K157" s="127">
        <v>21.1</v>
      </c>
      <c r="L157" s="127" t="s">
        <v>103</v>
      </c>
      <c r="M157" s="43">
        <f t="shared" si="6"/>
        <v>13.700000000000001</v>
      </c>
      <c r="N157" s="127">
        <v>6.3</v>
      </c>
      <c r="O157" s="127">
        <v>5</v>
      </c>
      <c r="P157" s="127">
        <v>6.6</v>
      </c>
      <c r="Q157" s="127">
        <v>16.100000000000001</v>
      </c>
      <c r="R157" s="127">
        <v>16.899999999999999</v>
      </c>
      <c r="S157" s="127">
        <v>15.3</v>
      </c>
      <c r="T157" s="128">
        <v>0</v>
      </c>
      <c r="U157" s="131">
        <v>0</v>
      </c>
      <c r="V157" s="119"/>
      <c r="W157" s="127">
        <v>11.8</v>
      </c>
      <c r="X157" s="131">
        <v>8</v>
      </c>
      <c r="Y157" s="131">
        <v>4</v>
      </c>
      <c r="Z157" s="133" t="s">
        <v>89</v>
      </c>
      <c r="AA157" s="134">
        <v>14</v>
      </c>
      <c r="AB157" s="122">
        <v>9.8000000000000007</v>
      </c>
    </row>
    <row r="158" spans="1:28" ht="14.5">
      <c r="A158" s="394">
        <f t="shared" si="7"/>
        <v>45081</v>
      </c>
      <c r="B158" s="159">
        <v>69.8</v>
      </c>
      <c r="C158" s="124">
        <v>30.11</v>
      </c>
      <c r="D158" s="128">
        <v>1019.6450399999999</v>
      </c>
      <c r="E158" s="128" t="s">
        <v>103</v>
      </c>
      <c r="F158" s="113">
        <v>65.813640874951432</v>
      </c>
      <c r="G158" s="113">
        <v>8.3767354999486781</v>
      </c>
      <c r="H158" s="126">
        <v>14.7</v>
      </c>
      <c r="I158" s="126">
        <v>14.7</v>
      </c>
      <c r="J158" s="128">
        <v>11.5</v>
      </c>
      <c r="K158" s="127">
        <v>20.6</v>
      </c>
      <c r="L158" s="169" t="s">
        <v>103</v>
      </c>
      <c r="M158" s="43">
        <f t="shared" si="6"/>
        <v>14.55</v>
      </c>
      <c r="N158" s="169">
        <v>8.5</v>
      </c>
      <c r="O158" s="169">
        <v>7</v>
      </c>
      <c r="P158" s="169">
        <v>9.4</v>
      </c>
      <c r="Q158" s="169">
        <v>18</v>
      </c>
      <c r="R158" s="168">
        <v>17.100000000000001</v>
      </c>
      <c r="S158" s="127">
        <v>15</v>
      </c>
      <c r="T158" s="128">
        <v>0</v>
      </c>
      <c r="U158" s="125">
        <v>0</v>
      </c>
      <c r="V158" s="119"/>
      <c r="W158" s="127">
        <v>13.6</v>
      </c>
      <c r="X158" s="125">
        <v>8</v>
      </c>
      <c r="Y158" s="125">
        <v>1</v>
      </c>
      <c r="Z158" s="133" t="s">
        <v>82</v>
      </c>
      <c r="AA158" s="134">
        <v>13</v>
      </c>
      <c r="AB158" s="122">
        <v>9.1</v>
      </c>
    </row>
    <row r="159" spans="1:28" ht="14.5">
      <c r="A159" s="394">
        <f t="shared" si="7"/>
        <v>45082</v>
      </c>
      <c r="B159" s="130">
        <v>68.2</v>
      </c>
      <c r="C159" s="129">
        <v>30.135999999999999</v>
      </c>
      <c r="D159" s="128">
        <v>1020.5255039999998</v>
      </c>
      <c r="E159" s="128" t="s">
        <v>103</v>
      </c>
      <c r="F159" s="122">
        <v>71.542014969289468</v>
      </c>
      <c r="G159" s="113">
        <v>7.0181499370533986</v>
      </c>
      <c r="H159" s="130">
        <v>12</v>
      </c>
      <c r="I159" s="127">
        <v>12.1</v>
      </c>
      <c r="J159" s="127">
        <v>9.6</v>
      </c>
      <c r="K159" s="127">
        <v>17</v>
      </c>
      <c r="L159" s="169" t="s">
        <v>103</v>
      </c>
      <c r="M159" s="43">
        <f t="shared" si="6"/>
        <v>12.25</v>
      </c>
      <c r="N159" s="169">
        <v>7.5</v>
      </c>
      <c r="O159" s="169">
        <v>4.7</v>
      </c>
      <c r="P159" s="169">
        <v>8.6</v>
      </c>
      <c r="Q159" s="169">
        <v>17.7</v>
      </c>
      <c r="R159" s="169">
        <v>17.600000000000001</v>
      </c>
      <c r="S159" s="127">
        <v>15.2</v>
      </c>
      <c r="T159" s="128">
        <v>0</v>
      </c>
      <c r="U159" s="131">
        <v>0</v>
      </c>
      <c r="V159" s="119"/>
      <c r="W159" s="127">
        <v>5.5</v>
      </c>
      <c r="X159" s="131">
        <v>8</v>
      </c>
      <c r="Y159" s="131">
        <v>8</v>
      </c>
      <c r="Z159" s="133" t="s">
        <v>82</v>
      </c>
      <c r="AA159" s="134">
        <v>13</v>
      </c>
      <c r="AB159" s="122">
        <v>9.1</v>
      </c>
    </row>
    <row r="160" spans="1:28" ht="14.5">
      <c r="A160" s="394">
        <f t="shared" si="7"/>
        <v>45083</v>
      </c>
      <c r="B160" s="130">
        <v>67.900000000000006</v>
      </c>
      <c r="C160" s="129">
        <v>30.103999999999999</v>
      </c>
      <c r="D160" s="128">
        <v>1019.4418559999999</v>
      </c>
      <c r="E160" s="128" t="s">
        <v>103</v>
      </c>
      <c r="F160" s="122">
        <v>74.898521933348363</v>
      </c>
      <c r="G160" s="113">
        <v>7.5920532281199389</v>
      </c>
      <c r="H160" s="130">
        <v>11.9</v>
      </c>
      <c r="I160" s="127">
        <v>11.9</v>
      </c>
      <c r="J160" s="127">
        <v>9.8000000000000007</v>
      </c>
      <c r="K160" s="127">
        <v>15.2</v>
      </c>
      <c r="L160" s="169" t="s">
        <v>103</v>
      </c>
      <c r="M160" s="43">
        <f t="shared" si="6"/>
        <v>12.85</v>
      </c>
      <c r="N160" s="169">
        <v>10.5</v>
      </c>
      <c r="O160" s="169">
        <v>9.5</v>
      </c>
      <c r="P160" s="169">
        <v>12.2</v>
      </c>
      <c r="Q160" s="169">
        <v>17.100000000000001</v>
      </c>
      <c r="R160" s="169">
        <v>17.399999999999999</v>
      </c>
      <c r="S160" s="127">
        <v>15.3</v>
      </c>
      <c r="T160" s="128">
        <v>0</v>
      </c>
      <c r="U160" s="131">
        <v>0</v>
      </c>
      <c r="V160" s="119"/>
      <c r="W160" s="127">
        <v>0.1</v>
      </c>
      <c r="X160" s="131">
        <v>8</v>
      </c>
      <c r="Y160" s="131">
        <v>8</v>
      </c>
      <c r="Z160" s="133" t="s">
        <v>82</v>
      </c>
      <c r="AA160" s="134">
        <v>10</v>
      </c>
      <c r="AB160" s="122">
        <v>7</v>
      </c>
    </row>
    <row r="161" spans="1:28" ht="14.5">
      <c r="A161" s="394">
        <f t="shared" si="7"/>
        <v>45084</v>
      </c>
      <c r="B161" s="130">
        <v>67.900000000000006</v>
      </c>
      <c r="C161" s="129">
        <v>30.062000000000001</v>
      </c>
      <c r="D161" s="128">
        <v>1018.0195679999999</v>
      </c>
      <c r="E161" s="128" t="s">
        <v>103</v>
      </c>
      <c r="F161" s="122">
        <v>76.310330330232674</v>
      </c>
      <c r="G161" s="113">
        <v>8.1565792359155065</v>
      </c>
      <c r="H161" s="130">
        <v>12.2</v>
      </c>
      <c r="I161" s="127">
        <v>12.2</v>
      </c>
      <c r="J161" s="127">
        <v>10.199999999999999</v>
      </c>
      <c r="K161" s="127">
        <v>21.1</v>
      </c>
      <c r="L161" s="169" t="s">
        <v>103</v>
      </c>
      <c r="M161" s="43">
        <f t="shared" si="6"/>
        <v>15.450000000000001</v>
      </c>
      <c r="N161" s="168">
        <v>9.8000000000000007</v>
      </c>
      <c r="O161" s="169">
        <v>9.3000000000000007</v>
      </c>
      <c r="P161" s="169">
        <v>11.2</v>
      </c>
      <c r="Q161" s="169">
        <v>16.2</v>
      </c>
      <c r="R161" s="169">
        <v>16.5</v>
      </c>
      <c r="S161" s="127">
        <v>15.3</v>
      </c>
      <c r="T161" s="128">
        <v>0</v>
      </c>
      <c r="U161" s="131">
        <v>0</v>
      </c>
      <c r="V161" s="132"/>
      <c r="W161" s="169">
        <v>8.5</v>
      </c>
      <c r="X161" s="153">
        <v>8</v>
      </c>
      <c r="Y161" s="153">
        <v>8</v>
      </c>
      <c r="Z161" s="133" t="s">
        <v>82</v>
      </c>
      <c r="AA161" s="134">
        <v>13</v>
      </c>
      <c r="AB161" s="122">
        <v>9.1</v>
      </c>
    </row>
    <row r="162" spans="1:28" ht="14.5">
      <c r="A162" s="394">
        <f t="shared" si="7"/>
        <v>45085</v>
      </c>
      <c r="B162" s="130">
        <v>68</v>
      </c>
      <c r="C162" s="129">
        <v>29.975999999999999</v>
      </c>
      <c r="D162" s="128">
        <v>1015.1072639999999</v>
      </c>
      <c r="E162" s="128" t="s">
        <v>103</v>
      </c>
      <c r="F162" s="122">
        <v>63.549571285571936</v>
      </c>
      <c r="G162" s="113">
        <v>7.6720694963655349</v>
      </c>
      <c r="H162" s="130">
        <v>14.5</v>
      </c>
      <c r="I162" s="127">
        <v>14.5</v>
      </c>
      <c r="J162" s="127">
        <v>11.1</v>
      </c>
      <c r="K162" s="127">
        <v>21.8</v>
      </c>
      <c r="L162" s="169" t="s">
        <v>103</v>
      </c>
      <c r="M162" s="43">
        <f t="shared" si="6"/>
        <v>14.95</v>
      </c>
      <c r="N162" s="169">
        <v>8.1</v>
      </c>
      <c r="O162" s="169">
        <v>6.4</v>
      </c>
      <c r="P162" s="169">
        <v>9.4</v>
      </c>
      <c r="Q162" s="169">
        <v>17.8</v>
      </c>
      <c r="R162" s="169">
        <v>17.2</v>
      </c>
      <c r="S162" s="127">
        <v>15.5</v>
      </c>
      <c r="T162" s="127">
        <v>0</v>
      </c>
      <c r="U162" s="131">
        <v>0</v>
      </c>
      <c r="V162" s="128"/>
      <c r="W162" s="168">
        <v>12.8</v>
      </c>
      <c r="X162" s="131">
        <v>8</v>
      </c>
      <c r="Y162" s="131">
        <v>1</v>
      </c>
      <c r="Z162" s="133" t="s">
        <v>89</v>
      </c>
      <c r="AA162" s="134">
        <v>12</v>
      </c>
      <c r="AB162" s="122">
        <v>8.4</v>
      </c>
    </row>
    <row r="163" spans="1:28" ht="14.5">
      <c r="A163" s="394">
        <f t="shared" si="7"/>
        <v>45086</v>
      </c>
      <c r="B163" s="130">
        <v>68.599999999999994</v>
      </c>
      <c r="C163" s="129">
        <v>29.835999999999999</v>
      </c>
      <c r="D163" s="128">
        <v>1010.3663039999999</v>
      </c>
      <c r="E163" s="128" t="s">
        <v>103</v>
      </c>
      <c r="F163" s="122">
        <v>71.127160720645904</v>
      </c>
      <c r="G163" s="113">
        <v>10.775088238118398</v>
      </c>
      <c r="H163" s="130">
        <v>16</v>
      </c>
      <c r="I163" s="127">
        <v>16.2</v>
      </c>
      <c r="J163" s="127">
        <v>13.2</v>
      </c>
      <c r="K163" s="127">
        <v>25.3</v>
      </c>
      <c r="L163" s="127" t="s">
        <v>103</v>
      </c>
      <c r="M163" s="43">
        <f t="shared" si="6"/>
        <v>17.649999999999999</v>
      </c>
      <c r="N163" s="127">
        <v>10</v>
      </c>
      <c r="O163" s="127">
        <v>8.4</v>
      </c>
      <c r="P163" s="127">
        <v>11.1</v>
      </c>
      <c r="Q163" s="127">
        <v>19.5</v>
      </c>
      <c r="R163" s="127">
        <v>17.7</v>
      </c>
      <c r="S163" s="127">
        <v>15.4</v>
      </c>
      <c r="T163" s="128">
        <v>0</v>
      </c>
      <c r="U163" s="131">
        <v>0</v>
      </c>
      <c r="V163" s="135"/>
      <c r="W163" s="169">
        <v>13</v>
      </c>
      <c r="X163" s="131">
        <v>8</v>
      </c>
      <c r="Y163" s="131">
        <v>3</v>
      </c>
      <c r="Z163" s="133" t="s">
        <v>82</v>
      </c>
      <c r="AA163" s="134">
        <v>13</v>
      </c>
      <c r="AB163" s="122">
        <v>9.1</v>
      </c>
    </row>
    <row r="164" spans="1:28" ht="14.5">
      <c r="A164" s="394">
        <f t="shared" si="7"/>
        <v>45087</v>
      </c>
      <c r="B164" s="130">
        <v>70</v>
      </c>
      <c r="C164" s="129">
        <v>29.815999999999999</v>
      </c>
      <c r="D164" s="128">
        <v>1009.6890239999999</v>
      </c>
      <c r="E164" s="128" t="s">
        <v>103</v>
      </c>
      <c r="F164" s="122">
        <v>69.831031891441654</v>
      </c>
      <c r="G164" s="113">
        <v>14.138500615175603</v>
      </c>
      <c r="H164" s="130">
        <v>19.8</v>
      </c>
      <c r="I164" s="127">
        <v>19.8</v>
      </c>
      <c r="J164" s="127">
        <v>16.5</v>
      </c>
      <c r="K164" s="127">
        <v>29</v>
      </c>
      <c r="L164" s="127" t="s">
        <v>103</v>
      </c>
      <c r="M164" s="43">
        <f t="shared" si="6"/>
        <v>20.55</v>
      </c>
      <c r="N164" s="127">
        <v>12.1</v>
      </c>
      <c r="O164" s="127">
        <v>11.9</v>
      </c>
      <c r="P164" s="127">
        <v>14.3</v>
      </c>
      <c r="Q164" s="127">
        <v>22.1</v>
      </c>
      <c r="R164" s="127">
        <v>18.7</v>
      </c>
      <c r="S164" s="127">
        <v>15.5</v>
      </c>
      <c r="T164" s="127">
        <v>3.2</v>
      </c>
      <c r="U164" s="131">
        <v>0</v>
      </c>
      <c r="V164" s="135"/>
      <c r="W164" s="168">
        <v>7.7</v>
      </c>
      <c r="X164" s="131">
        <v>8</v>
      </c>
      <c r="Y164" s="131">
        <v>1</v>
      </c>
      <c r="Z164" s="133" t="s">
        <v>82</v>
      </c>
      <c r="AA164" s="134">
        <v>9</v>
      </c>
      <c r="AB164" s="122">
        <v>6.3000000000000007</v>
      </c>
    </row>
    <row r="165" spans="1:28" ht="14.5">
      <c r="A165" s="394">
        <f t="shared" si="7"/>
        <v>45088</v>
      </c>
      <c r="B165" s="130">
        <v>69.2</v>
      </c>
      <c r="C165" s="124">
        <v>29.893999999999998</v>
      </c>
      <c r="D165" s="128">
        <v>1012.3304159999999</v>
      </c>
      <c r="E165" s="128" t="s">
        <v>103</v>
      </c>
      <c r="F165" s="122">
        <v>78.322562996905603</v>
      </c>
      <c r="G165" s="113">
        <v>18.347672641008483</v>
      </c>
      <c r="H165" s="130">
        <v>22.3</v>
      </c>
      <c r="I165" s="127">
        <v>22.5</v>
      </c>
      <c r="J165" s="127">
        <v>19.8</v>
      </c>
      <c r="K165" s="127">
        <v>25.9</v>
      </c>
      <c r="L165" s="127" t="s">
        <v>103</v>
      </c>
      <c r="M165" s="43">
        <f t="shared" si="6"/>
        <v>20</v>
      </c>
      <c r="N165" s="127">
        <v>14.1</v>
      </c>
      <c r="O165" s="127">
        <v>10.9</v>
      </c>
      <c r="P165" s="127">
        <v>13.9</v>
      </c>
      <c r="Q165" s="182">
        <v>21.9</v>
      </c>
      <c r="R165" s="127">
        <v>19.100000000000001</v>
      </c>
      <c r="S165" s="127">
        <v>15.8</v>
      </c>
      <c r="T165" s="127">
        <v>8.1</v>
      </c>
      <c r="U165" s="131">
        <v>0</v>
      </c>
      <c r="V165" s="135"/>
      <c r="W165" s="169">
        <v>6.5</v>
      </c>
      <c r="X165" s="131">
        <v>7</v>
      </c>
      <c r="Y165" s="131">
        <v>4</v>
      </c>
      <c r="Z165" s="133" t="s">
        <v>82</v>
      </c>
      <c r="AA165" s="134">
        <v>11</v>
      </c>
      <c r="AB165" s="122">
        <v>7.7</v>
      </c>
    </row>
    <row r="166" spans="1:28" ht="14.5">
      <c r="A166" s="394">
        <f t="shared" si="7"/>
        <v>45089</v>
      </c>
      <c r="B166" s="130">
        <v>72</v>
      </c>
      <c r="C166" s="124">
        <v>29.818000000000001</v>
      </c>
      <c r="D166" s="128">
        <v>1009.756752</v>
      </c>
      <c r="E166" s="128" t="s">
        <v>103</v>
      </c>
      <c r="F166" s="122">
        <v>75.660668446271998</v>
      </c>
      <c r="G166" s="113">
        <v>17.507899698310975</v>
      </c>
      <c r="H166" s="130">
        <v>22</v>
      </c>
      <c r="I166" s="127">
        <v>22</v>
      </c>
      <c r="J166" s="127">
        <v>19.2</v>
      </c>
      <c r="K166" s="127">
        <v>27.8</v>
      </c>
      <c r="L166" s="127" t="s">
        <v>103</v>
      </c>
      <c r="M166" s="43">
        <f t="shared" si="6"/>
        <v>21.950000000000003</v>
      </c>
      <c r="N166" s="127">
        <v>16.100000000000001</v>
      </c>
      <c r="O166" s="127">
        <v>15.7</v>
      </c>
      <c r="P166" s="127">
        <v>17</v>
      </c>
      <c r="Q166" s="127">
        <v>21.8</v>
      </c>
      <c r="R166" s="127">
        <v>19.5</v>
      </c>
      <c r="S166" s="127">
        <v>15.9</v>
      </c>
      <c r="T166" s="127">
        <v>0.7</v>
      </c>
      <c r="U166" s="131">
        <v>0</v>
      </c>
      <c r="V166" s="127"/>
      <c r="W166" s="169">
        <v>7.1</v>
      </c>
      <c r="X166" s="131">
        <v>7</v>
      </c>
      <c r="Y166" s="131">
        <v>4</v>
      </c>
      <c r="Z166" s="133" t="s">
        <v>82</v>
      </c>
      <c r="AA166" s="134">
        <v>6</v>
      </c>
      <c r="AB166" s="122">
        <v>4.2</v>
      </c>
    </row>
    <row r="167" spans="1:28" ht="14.5">
      <c r="A167" s="394">
        <f t="shared" si="7"/>
        <v>45090</v>
      </c>
      <c r="B167" s="130">
        <v>72</v>
      </c>
      <c r="C167" s="124">
        <v>29.83</v>
      </c>
      <c r="D167" s="128">
        <v>1010.1631199999998</v>
      </c>
      <c r="E167" s="128" t="s">
        <v>103</v>
      </c>
      <c r="F167" s="122">
        <v>68.717707948393922</v>
      </c>
      <c r="G167" s="113">
        <v>14.55969297879119</v>
      </c>
      <c r="H167" s="130">
        <v>20.5</v>
      </c>
      <c r="I167" s="127">
        <v>20.5</v>
      </c>
      <c r="J167" s="127">
        <v>17</v>
      </c>
      <c r="K167" s="127">
        <v>27.2</v>
      </c>
      <c r="L167" s="127" t="s">
        <v>103</v>
      </c>
      <c r="M167" s="43">
        <f t="shared" si="6"/>
        <v>19.95</v>
      </c>
      <c r="N167" s="127">
        <v>12.7</v>
      </c>
      <c r="O167" s="127">
        <v>9.9</v>
      </c>
      <c r="P167" s="127">
        <v>13.1</v>
      </c>
      <c r="Q167" s="127">
        <v>21.9</v>
      </c>
      <c r="R167" s="127">
        <v>20</v>
      </c>
      <c r="S167" s="127">
        <v>16.100000000000001</v>
      </c>
      <c r="T167" s="127">
        <v>0</v>
      </c>
      <c r="U167" s="131">
        <v>0</v>
      </c>
      <c r="V167" s="119"/>
      <c r="W167" s="169">
        <v>14.8</v>
      </c>
      <c r="X167" s="131">
        <v>8</v>
      </c>
      <c r="Y167" s="131">
        <v>1</v>
      </c>
      <c r="Z167" s="133" t="s">
        <v>82</v>
      </c>
      <c r="AA167" s="134">
        <v>7</v>
      </c>
      <c r="AB167" s="122">
        <v>4.9000000000000004</v>
      </c>
    </row>
    <row r="168" spans="1:28" ht="14.5">
      <c r="A168" s="394">
        <f t="shared" si="7"/>
        <v>45091</v>
      </c>
      <c r="B168" s="130">
        <v>72.099999999999994</v>
      </c>
      <c r="C168" s="124">
        <v>30.001999999999999</v>
      </c>
      <c r="D168" s="128">
        <v>1015.9877279999998</v>
      </c>
      <c r="E168" s="128" t="s">
        <v>103</v>
      </c>
      <c r="F168" s="122">
        <v>63.319194754539531</v>
      </c>
      <c r="G168" s="113">
        <v>12.921027244149039</v>
      </c>
      <c r="H168" s="130">
        <v>20.100000000000001</v>
      </c>
      <c r="I168" s="127">
        <v>20.2</v>
      </c>
      <c r="J168" s="127">
        <v>16</v>
      </c>
      <c r="K168" s="127">
        <v>27.6</v>
      </c>
      <c r="L168" s="127" t="s">
        <v>103</v>
      </c>
      <c r="M168" s="43">
        <f t="shared" si="6"/>
        <v>18.600000000000001</v>
      </c>
      <c r="N168" s="127">
        <v>9.6</v>
      </c>
      <c r="O168" s="127">
        <v>5.8</v>
      </c>
      <c r="P168" s="127">
        <v>10.1</v>
      </c>
      <c r="Q168" s="127">
        <v>22.2</v>
      </c>
      <c r="R168" s="127">
        <v>20</v>
      </c>
      <c r="S168" s="127">
        <v>16.5</v>
      </c>
      <c r="T168" s="127">
        <v>0</v>
      </c>
      <c r="U168" s="131">
        <v>0</v>
      </c>
      <c r="V168" s="119"/>
      <c r="W168" s="127">
        <v>14.4</v>
      </c>
      <c r="X168" s="131">
        <v>8</v>
      </c>
      <c r="Y168" s="131">
        <v>0</v>
      </c>
      <c r="Z168" s="133" t="s">
        <v>82</v>
      </c>
      <c r="AA168" s="134">
        <v>11</v>
      </c>
      <c r="AB168" s="122">
        <v>7.7</v>
      </c>
    </row>
    <row r="169" spans="1:28" ht="14.5">
      <c r="A169" s="394">
        <f t="shared" si="7"/>
        <v>45092</v>
      </c>
      <c r="B169" s="138">
        <v>72.900000000000006</v>
      </c>
      <c r="C169" s="137">
        <v>30.01</v>
      </c>
      <c r="D169" s="128">
        <v>1016.25864</v>
      </c>
      <c r="E169" s="128" t="s">
        <v>103</v>
      </c>
      <c r="F169" s="122">
        <v>65.280438446053466</v>
      </c>
      <c r="G169" s="113">
        <v>13.672936512199042</v>
      </c>
      <c r="H169" s="138">
        <v>20.399999999999999</v>
      </c>
      <c r="I169" s="136">
        <v>20.5</v>
      </c>
      <c r="J169" s="136">
        <v>16.5</v>
      </c>
      <c r="K169" s="136">
        <v>27</v>
      </c>
      <c r="L169" s="127" t="s">
        <v>103</v>
      </c>
      <c r="M169" s="43">
        <f t="shared" si="6"/>
        <v>19.75</v>
      </c>
      <c r="N169" s="136">
        <v>12.5</v>
      </c>
      <c r="O169" s="136">
        <v>7.5</v>
      </c>
      <c r="P169" s="136">
        <v>12.7</v>
      </c>
      <c r="Q169" s="136">
        <v>22.4</v>
      </c>
      <c r="R169" s="136">
        <v>20.2</v>
      </c>
      <c r="S169" s="136">
        <v>16.5</v>
      </c>
      <c r="T169" s="136">
        <v>0</v>
      </c>
      <c r="U169" s="139">
        <v>0</v>
      </c>
      <c r="V169" s="140"/>
      <c r="W169" s="136">
        <v>12.2</v>
      </c>
      <c r="X169" s="139">
        <v>8</v>
      </c>
      <c r="Y169" s="139">
        <v>3</v>
      </c>
      <c r="Z169" s="141" t="s">
        <v>82</v>
      </c>
      <c r="AA169" s="142">
        <v>7</v>
      </c>
      <c r="AB169" s="122">
        <v>4.9000000000000004</v>
      </c>
    </row>
    <row r="170" spans="1:28" ht="14.5">
      <c r="A170" s="394">
        <f t="shared" si="7"/>
        <v>45093</v>
      </c>
      <c r="B170" s="138">
        <v>73.8</v>
      </c>
      <c r="C170" s="124">
        <v>30.015999999999998</v>
      </c>
      <c r="D170" s="128">
        <v>1016.4618239999999</v>
      </c>
      <c r="E170" s="128" t="s">
        <v>103</v>
      </c>
      <c r="F170" s="122">
        <v>46.859221241237023</v>
      </c>
      <c r="G170" s="113">
        <v>11.048714274321265</v>
      </c>
      <c r="H170" s="130">
        <v>23</v>
      </c>
      <c r="I170" s="127">
        <v>23</v>
      </c>
      <c r="J170" s="127">
        <v>16.3</v>
      </c>
      <c r="K170" s="136">
        <v>26.7</v>
      </c>
      <c r="L170" s="127" t="s">
        <v>103</v>
      </c>
      <c r="M170" s="43">
        <f t="shared" si="6"/>
        <v>19.8</v>
      </c>
      <c r="N170" s="127">
        <v>12.9</v>
      </c>
      <c r="O170" s="127">
        <v>9.1999999999999993</v>
      </c>
      <c r="P170" s="127">
        <v>13.4</v>
      </c>
      <c r="Q170" s="127">
        <v>23.1</v>
      </c>
      <c r="R170" s="127">
        <v>20.5</v>
      </c>
      <c r="S170" s="127">
        <v>16.8</v>
      </c>
      <c r="T170" s="136" t="s">
        <v>93</v>
      </c>
      <c r="U170" s="131">
        <v>0</v>
      </c>
      <c r="V170" s="119"/>
      <c r="W170" s="136">
        <v>12.6</v>
      </c>
      <c r="X170" s="131">
        <v>8</v>
      </c>
      <c r="Y170" s="131">
        <v>0</v>
      </c>
      <c r="Z170" s="133" t="s">
        <v>82</v>
      </c>
      <c r="AA170" s="127">
        <v>5</v>
      </c>
      <c r="AB170" s="122">
        <v>3.5</v>
      </c>
    </row>
    <row r="171" spans="1:28" ht="14.5">
      <c r="A171" s="394">
        <f t="shared" si="7"/>
        <v>45094</v>
      </c>
      <c r="B171" s="138">
        <v>73.8</v>
      </c>
      <c r="C171" s="137">
        <v>29.856000000000002</v>
      </c>
      <c r="D171" s="128">
        <v>1011.043584</v>
      </c>
      <c r="E171" s="128" t="s">
        <v>103</v>
      </c>
      <c r="F171" s="122">
        <v>73.851804262417104</v>
      </c>
      <c r="G171" s="113">
        <v>11.051897239876293</v>
      </c>
      <c r="H171" s="138">
        <v>15.7</v>
      </c>
      <c r="I171" s="136">
        <v>15.9</v>
      </c>
      <c r="J171" s="142">
        <v>13.2</v>
      </c>
      <c r="K171" s="127">
        <v>25.6</v>
      </c>
      <c r="L171" s="127" t="s">
        <v>103</v>
      </c>
      <c r="M171" s="43">
        <f t="shared" si="6"/>
        <v>19.75</v>
      </c>
      <c r="N171" s="138">
        <v>13.9</v>
      </c>
      <c r="O171" s="136">
        <v>10.5</v>
      </c>
      <c r="P171" s="136">
        <v>14.9</v>
      </c>
      <c r="Q171" s="127">
        <v>22.2</v>
      </c>
      <c r="R171" s="136">
        <v>20.6</v>
      </c>
      <c r="S171" s="142">
        <v>16.899999999999999</v>
      </c>
      <c r="T171" s="127">
        <v>0.3</v>
      </c>
      <c r="U171" s="143">
        <v>0</v>
      </c>
      <c r="V171" s="119"/>
      <c r="W171" s="127">
        <v>2.4</v>
      </c>
      <c r="X171" s="144">
        <v>8</v>
      </c>
      <c r="Y171" s="139">
        <v>8</v>
      </c>
      <c r="Z171" s="141" t="s">
        <v>104</v>
      </c>
      <c r="AA171" s="142">
        <v>0</v>
      </c>
      <c r="AB171" s="122">
        <v>0</v>
      </c>
    </row>
    <row r="172" spans="1:28" ht="14.5">
      <c r="A172" s="394">
        <f t="shared" si="7"/>
        <v>45095</v>
      </c>
      <c r="B172" s="130">
        <v>74.7</v>
      </c>
      <c r="C172" s="124">
        <v>29.664000000000001</v>
      </c>
      <c r="D172" s="128">
        <v>1004.541696</v>
      </c>
      <c r="E172" s="128" t="s">
        <v>103</v>
      </c>
      <c r="F172" s="122">
        <v>69.544127456845445</v>
      </c>
      <c r="G172" s="113">
        <v>15.701650710315166</v>
      </c>
      <c r="H172" s="138">
        <v>21.5</v>
      </c>
      <c r="I172" s="136">
        <v>21.5</v>
      </c>
      <c r="J172" s="136">
        <v>18</v>
      </c>
      <c r="K172" s="145">
        <v>25.1</v>
      </c>
      <c r="L172" s="145" t="s">
        <v>103</v>
      </c>
      <c r="M172" s="43">
        <f t="shared" si="6"/>
        <v>20.3</v>
      </c>
      <c r="N172" s="136">
        <v>15.5</v>
      </c>
      <c r="O172" s="136">
        <v>13.1</v>
      </c>
      <c r="P172" s="136">
        <v>16.100000000000001</v>
      </c>
      <c r="Q172" s="136">
        <v>22.6</v>
      </c>
      <c r="R172" s="136">
        <v>20.5</v>
      </c>
      <c r="S172" s="142">
        <v>17</v>
      </c>
      <c r="T172" s="127">
        <v>1.3</v>
      </c>
      <c r="U172" s="146">
        <v>0</v>
      </c>
      <c r="V172" s="147"/>
      <c r="W172" s="145">
        <v>1.5</v>
      </c>
      <c r="X172" s="139">
        <v>8</v>
      </c>
      <c r="Y172" s="139">
        <v>8</v>
      </c>
      <c r="Z172" s="141" t="s">
        <v>82</v>
      </c>
      <c r="AA172" s="136">
        <v>3</v>
      </c>
      <c r="AB172" s="148">
        <v>2.1</v>
      </c>
    </row>
    <row r="173" spans="1:28" ht="14.5">
      <c r="A173" s="394">
        <f t="shared" si="7"/>
        <v>45096</v>
      </c>
      <c r="B173" s="138">
        <v>73.900000000000006</v>
      </c>
      <c r="C173" s="137">
        <v>29.716000000000001</v>
      </c>
      <c r="D173" s="128">
        <v>1006.3026239999999</v>
      </c>
      <c r="E173" s="128" t="s">
        <v>103</v>
      </c>
      <c r="F173" s="122">
        <v>72.934294026150496</v>
      </c>
      <c r="G173" s="149">
        <v>14.329782674850481</v>
      </c>
      <c r="H173" s="130">
        <v>19.3</v>
      </c>
      <c r="I173" s="127">
        <v>19.3</v>
      </c>
      <c r="J173" s="127">
        <v>16.399999999999999</v>
      </c>
      <c r="K173" s="128">
        <v>25.2</v>
      </c>
      <c r="L173" s="125" t="s">
        <v>103</v>
      </c>
      <c r="M173" s="43">
        <f t="shared" si="6"/>
        <v>19.3</v>
      </c>
      <c r="N173" s="127">
        <v>13.4</v>
      </c>
      <c r="O173" s="127">
        <v>10.6</v>
      </c>
      <c r="P173" s="127">
        <v>12.8</v>
      </c>
      <c r="Q173" s="127">
        <v>20.9</v>
      </c>
      <c r="R173" s="127">
        <v>20.100000000000001</v>
      </c>
      <c r="S173" s="127">
        <v>17.3</v>
      </c>
      <c r="T173" s="150">
        <v>23.3</v>
      </c>
      <c r="U173" s="131">
        <v>1</v>
      </c>
      <c r="V173" s="119"/>
      <c r="W173" s="127">
        <v>11.6</v>
      </c>
      <c r="X173" s="131">
        <v>8</v>
      </c>
      <c r="Y173" s="131">
        <v>4</v>
      </c>
      <c r="Z173" s="133" t="s">
        <v>89</v>
      </c>
      <c r="AA173" s="127">
        <v>15</v>
      </c>
      <c r="AB173" s="122">
        <v>10.5</v>
      </c>
    </row>
    <row r="174" spans="1:28" ht="14.5">
      <c r="A174" s="394">
        <f t="shared" si="7"/>
        <v>45097</v>
      </c>
      <c r="B174" s="382">
        <v>73.8</v>
      </c>
      <c r="C174" s="151">
        <v>29.588000000000001</v>
      </c>
      <c r="D174" s="128">
        <v>1001.968032</v>
      </c>
      <c r="E174" s="128" t="s">
        <v>103</v>
      </c>
      <c r="F174" s="122">
        <v>96.901860762125096</v>
      </c>
      <c r="G174" s="152">
        <v>16.803443197402363</v>
      </c>
      <c r="H174" s="126">
        <v>17.3</v>
      </c>
      <c r="I174" s="125">
        <v>17.5</v>
      </c>
      <c r="J174" s="125">
        <v>17</v>
      </c>
      <c r="K174" s="127">
        <v>22.8</v>
      </c>
      <c r="L174" s="127" t="s">
        <v>103</v>
      </c>
      <c r="M174" s="43">
        <f t="shared" si="6"/>
        <v>18.850000000000001</v>
      </c>
      <c r="N174" s="125">
        <v>14.9</v>
      </c>
      <c r="O174" s="125">
        <v>12.1</v>
      </c>
      <c r="P174" s="128">
        <v>15.5</v>
      </c>
      <c r="Q174" s="128">
        <v>20</v>
      </c>
      <c r="R174" s="125">
        <v>19.8</v>
      </c>
      <c r="S174" s="128">
        <v>17.2</v>
      </c>
      <c r="T174" s="127">
        <v>0.3</v>
      </c>
      <c r="U174" s="153">
        <v>1</v>
      </c>
      <c r="V174" s="135"/>
      <c r="W174" s="127">
        <v>4</v>
      </c>
      <c r="X174" s="125">
        <v>7</v>
      </c>
      <c r="Y174" s="125">
        <v>8</v>
      </c>
      <c r="Z174" s="154" t="s">
        <v>82</v>
      </c>
      <c r="AA174" s="128">
        <v>5</v>
      </c>
      <c r="AB174" s="155">
        <v>3.5</v>
      </c>
    </row>
    <row r="175" spans="1:28" ht="14.5">
      <c r="A175" s="394">
        <f t="shared" si="7"/>
        <v>45098</v>
      </c>
      <c r="B175" s="159">
        <v>74.400000000000006</v>
      </c>
      <c r="C175" s="157">
        <v>29.884</v>
      </c>
      <c r="D175" s="128">
        <v>1011.991776</v>
      </c>
      <c r="E175" s="127" t="s">
        <v>103</v>
      </c>
      <c r="F175" s="158">
        <v>69.831031891441654</v>
      </c>
      <c r="G175" s="122">
        <v>14.138500615175603</v>
      </c>
      <c r="H175" s="159">
        <v>19.8</v>
      </c>
      <c r="I175" s="156">
        <v>19.899999999999999</v>
      </c>
      <c r="J175" s="156">
        <v>16.5</v>
      </c>
      <c r="K175" s="127">
        <v>24.3</v>
      </c>
      <c r="L175" s="156" t="s">
        <v>103</v>
      </c>
      <c r="M175" s="43">
        <f t="shared" si="6"/>
        <v>18.8</v>
      </c>
      <c r="N175" s="156">
        <v>13.3</v>
      </c>
      <c r="O175" s="156">
        <v>10.3</v>
      </c>
      <c r="P175" s="156">
        <v>12.9</v>
      </c>
      <c r="Q175" s="160">
        <v>19.899999999999999</v>
      </c>
      <c r="R175" s="156">
        <v>19.7</v>
      </c>
      <c r="S175" s="156">
        <v>17.3</v>
      </c>
      <c r="T175" s="156">
        <v>0</v>
      </c>
      <c r="U175" s="161">
        <v>0</v>
      </c>
      <c r="V175" s="162"/>
      <c r="W175" s="160">
        <v>12.5</v>
      </c>
      <c r="X175" s="163">
        <v>8</v>
      </c>
      <c r="Y175" s="163">
        <v>7</v>
      </c>
      <c r="Z175" s="164" t="s">
        <v>82</v>
      </c>
      <c r="AA175" s="165">
        <v>10</v>
      </c>
      <c r="AB175" s="166">
        <v>7</v>
      </c>
    </row>
    <row r="176" spans="1:28" ht="14.5">
      <c r="A176" s="394">
        <f t="shared" si="7"/>
        <v>45099</v>
      </c>
      <c r="B176" s="130">
        <v>74.2</v>
      </c>
      <c r="C176" s="124">
        <v>29.963999999999999</v>
      </c>
      <c r="D176" s="128">
        <v>1014.7008959999998</v>
      </c>
      <c r="E176" s="128" t="s">
        <v>103</v>
      </c>
      <c r="F176" s="122">
        <v>62.681468884365934</v>
      </c>
      <c r="G176" s="167">
        <v>15.223098876472662</v>
      </c>
      <c r="H176" s="130">
        <v>22.7</v>
      </c>
      <c r="I176" s="127">
        <v>22.8</v>
      </c>
      <c r="J176" s="127">
        <v>18.2</v>
      </c>
      <c r="K176" s="110">
        <v>27.3</v>
      </c>
      <c r="L176" s="127" t="s">
        <v>103</v>
      </c>
      <c r="M176" s="43">
        <f t="shared" si="6"/>
        <v>20.85</v>
      </c>
      <c r="N176" s="127">
        <v>14.4</v>
      </c>
      <c r="O176" s="127">
        <v>10.9</v>
      </c>
      <c r="P176" s="127">
        <v>14.5</v>
      </c>
      <c r="Q176" s="127">
        <v>20.7</v>
      </c>
      <c r="R176" s="127">
        <v>20.5</v>
      </c>
      <c r="S176" s="127">
        <v>17.5</v>
      </c>
      <c r="T176" s="127">
        <v>0</v>
      </c>
      <c r="U176" s="153">
        <v>0</v>
      </c>
      <c r="V176" s="131"/>
      <c r="W176" s="128">
        <v>10.8</v>
      </c>
      <c r="X176" s="153">
        <v>8</v>
      </c>
      <c r="Y176" s="153">
        <v>2</v>
      </c>
      <c r="Z176" s="133" t="s">
        <v>82</v>
      </c>
      <c r="AA176" s="134">
        <v>2</v>
      </c>
      <c r="AB176" s="122">
        <v>1.4</v>
      </c>
    </row>
    <row r="177" spans="1:28" ht="14.5">
      <c r="A177" s="394">
        <f t="shared" si="7"/>
        <v>45100</v>
      </c>
      <c r="B177" s="130">
        <v>75.3</v>
      </c>
      <c r="C177" s="124">
        <v>30.122</v>
      </c>
      <c r="D177" s="128">
        <v>1020.0514079999999</v>
      </c>
      <c r="E177" s="128" t="s">
        <v>103</v>
      </c>
      <c r="F177" s="122">
        <v>74.186820935966452</v>
      </c>
      <c r="G177" s="113">
        <v>15.075362061713069</v>
      </c>
      <c r="H177" s="130">
        <v>19.8</v>
      </c>
      <c r="I177" s="127">
        <v>20</v>
      </c>
      <c r="J177" s="127">
        <v>17</v>
      </c>
      <c r="K177" s="127">
        <v>25.2</v>
      </c>
      <c r="L177" s="127" t="s">
        <v>103</v>
      </c>
      <c r="M177" s="43">
        <f t="shared" si="6"/>
        <v>20.100000000000001</v>
      </c>
      <c r="N177" s="127">
        <v>15</v>
      </c>
      <c r="O177" s="127">
        <v>12.7</v>
      </c>
      <c r="P177" s="127">
        <v>15.6</v>
      </c>
      <c r="Q177" s="127">
        <v>21</v>
      </c>
      <c r="R177" s="127">
        <v>21.1</v>
      </c>
      <c r="S177" s="127">
        <v>17.5</v>
      </c>
      <c r="T177" s="128">
        <v>0</v>
      </c>
      <c r="U177" s="153">
        <v>0</v>
      </c>
      <c r="V177" s="131"/>
      <c r="W177" s="127">
        <v>6.1</v>
      </c>
      <c r="X177" s="131">
        <v>8</v>
      </c>
      <c r="Y177" s="131">
        <v>8</v>
      </c>
      <c r="Z177" s="133" t="s">
        <v>82</v>
      </c>
      <c r="AA177" s="134">
        <v>8</v>
      </c>
      <c r="AB177" s="122">
        <v>5.6</v>
      </c>
    </row>
    <row r="178" spans="1:28" ht="14.5">
      <c r="A178" s="394">
        <f t="shared" si="7"/>
        <v>45101</v>
      </c>
      <c r="B178" s="130">
        <v>75.400000000000006</v>
      </c>
      <c r="C178" s="124">
        <v>30.103999999999999</v>
      </c>
      <c r="D178" s="128">
        <v>1019.4418559999999</v>
      </c>
      <c r="E178" s="128" t="s">
        <v>103</v>
      </c>
      <c r="F178" s="122">
        <v>72.516423457473223</v>
      </c>
      <c r="G178" s="113">
        <v>17.029869714025097</v>
      </c>
      <c r="H178" s="130">
        <v>22.2</v>
      </c>
      <c r="I178" s="127">
        <v>22.2</v>
      </c>
      <c r="J178" s="127">
        <v>19</v>
      </c>
      <c r="K178" s="127">
        <v>26.8</v>
      </c>
      <c r="L178" s="127" t="s">
        <v>103</v>
      </c>
      <c r="M178" s="43">
        <f t="shared" si="6"/>
        <v>20.350000000000001</v>
      </c>
      <c r="N178" s="127">
        <v>13.9</v>
      </c>
      <c r="O178" s="127">
        <v>10.199999999999999</v>
      </c>
      <c r="P178" s="127">
        <v>16.8</v>
      </c>
      <c r="Q178" s="127">
        <v>22.1</v>
      </c>
      <c r="R178" s="127">
        <v>21.4</v>
      </c>
      <c r="S178" s="127">
        <v>17.7</v>
      </c>
      <c r="T178" s="128">
        <v>0</v>
      </c>
      <c r="U178" s="153">
        <v>0</v>
      </c>
      <c r="V178" s="131"/>
      <c r="W178" s="127">
        <v>10.7</v>
      </c>
      <c r="X178" s="131">
        <v>8</v>
      </c>
      <c r="Y178" s="131">
        <v>6</v>
      </c>
      <c r="Z178" s="133" t="s">
        <v>82</v>
      </c>
      <c r="AA178" s="134">
        <v>10</v>
      </c>
      <c r="AB178" s="122">
        <v>7</v>
      </c>
    </row>
    <row r="179" spans="1:28" ht="14.5">
      <c r="A179" s="394">
        <f t="shared" si="7"/>
        <v>45102</v>
      </c>
      <c r="B179" s="130">
        <v>75.3</v>
      </c>
      <c r="C179" s="124">
        <v>29.891999999999999</v>
      </c>
      <c r="D179" s="128">
        <v>1012.2626879999999</v>
      </c>
      <c r="E179" s="127" t="s">
        <v>103</v>
      </c>
      <c r="F179" s="122">
        <v>67.188013309574345</v>
      </c>
      <c r="G179" s="113">
        <v>15.259846890932748</v>
      </c>
      <c r="H179" s="130">
        <v>21.6</v>
      </c>
      <c r="I179" s="127">
        <v>21.8</v>
      </c>
      <c r="J179" s="127">
        <v>17.8</v>
      </c>
      <c r="K179" s="127">
        <v>29.8</v>
      </c>
      <c r="L179" s="127" t="s">
        <v>103</v>
      </c>
      <c r="M179" s="43">
        <f t="shared" si="6"/>
        <v>20.8</v>
      </c>
      <c r="N179" s="127">
        <v>11.8</v>
      </c>
      <c r="O179" s="127">
        <v>10.199999999999999</v>
      </c>
      <c r="P179" s="127">
        <v>15.2</v>
      </c>
      <c r="Q179" s="127">
        <v>22.2</v>
      </c>
      <c r="R179" s="127">
        <v>21.6</v>
      </c>
      <c r="S179" s="127">
        <v>17.8</v>
      </c>
      <c r="T179" s="127">
        <v>0</v>
      </c>
      <c r="U179" s="153">
        <v>0</v>
      </c>
      <c r="V179" s="131"/>
      <c r="W179" s="128">
        <v>13.4</v>
      </c>
      <c r="X179" s="131">
        <v>8</v>
      </c>
      <c r="Y179" s="131">
        <v>7</v>
      </c>
      <c r="Z179" s="133" t="s">
        <v>82</v>
      </c>
      <c r="AA179" s="134">
        <v>10</v>
      </c>
      <c r="AB179" s="122">
        <v>7</v>
      </c>
    </row>
    <row r="180" spans="1:28" ht="14.5">
      <c r="A180" s="394">
        <f t="shared" si="7"/>
        <v>45103</v>
      </c>
      <c r="B180" s="130">
        <v>74.8</v>
      </c>
      <c r="C180" s="124">
        <v>29.981999999999999</v>
      </c>
      <c r="D180" s="128">
        <v>1015.3104479999998</v>
      </c>
      <c r="E180" s="128" t="s">
        <v>103</v>
      </c>
      <c r="F180" s="122">
        <v>52.028709692548112</v>
      </c>
      <c r="G180" s="113">
        <v>8.9374118219885492</v>
      </c>
      <c r="H180" s="130">
        <v>19</v>
      </c>
      <c r="I180" s="127">
        <v>19.2</v>
      </c>
      <c r="J180" s="127">
        <v>13.7</v>
      </c>
      <c r="K180" s="127">
        <v>21.8</v>
      </c>
      <c r="L180" s="127" t="s">
        <v>103</v>
      </c>
      <c r="M180" s="43">
        <f t="shared" si="6"/>
        <v>17.5</v>
      </c>
      <c r="N180" s="127">
        <v>13.2</v>
      </c>
      <c r="O180" s="127">
        <v>9.6999999999999993</v>
      </c>
      <c r="P180" s="127">
        <v>13.4</v>
      </c>
      <c r="Q180" s="127">
        <v>22.1</v>
      </c>
      <c r="R180" s="127">
        <v>21.3</v>
      </c>
      <c r="S180" s="127">
        <v>18</v>
      </c>
      <c r="T180" s="127">
        <v>0</v>
      </c>
      <c r="U180" s="153">
        <v>0</v>
      </c>
      <c r="V180" s="131"/>
      <c r="W180" s="128">
        <v>5.4</v>
      </c>
      <c r="X180" s="131">
        <v>8</v>
      </c>
      <c r="Y180" s="131">
        <v>7</v>
      </c>
      <c r="Z180" s="133" t="s">
        <v>82</v>
      </c>
      <c r="AA180" s="134">
        <v>11</v>
      </c>
      <c r="AB180" s="122">
        <v>7.7</v>
      </c>
    </row>
    <row r="181" spans="1:28" ht="14.5">
      <c r="A181" s="394">
        <f t="shared" si="7"/>
        <v>45104</v>
      </c>
      <c r="B181" s="130">
        <v>74.2</v>
      </c>
      <c r="C181" s="124">
        <v>30.045999999999999</v>
      </c>
      <c r="D181" s="128">
        <v>1017.4777439999999</v>
      </c>
      <c r="E181" s="128" t="s">
        <v>103</v>
      </c>
      <c r="F181" s="122">
        <v>73.521258493497172</v>
      </c>
      <c r="G181" s="113">
        <v>12.911978709446096</v>
      </c>
      <c r="H181" s="130">
        <v>17.7</v>
      </c>
      <c r="I181" s="127">
        <v>17.7</v>
      </c>
      <c r="J181" s="127">
        <v>15</v>
      </c>
      <c r="K181" s="127">
        <v>21</v>
      </c>
      <c r="L181" s="127" t="s">
        <v>103</v>
      </c>
      <c r="M181" s="43">
        <f t="shared" si="6"/>
        <v>17.5</v>
      </c>
      <c r="N181" s="127">
        <v>14</v>
      </c>
      <c r="O181" s="127">
        <v>12.9</v>
      </c>
      <c r="P181" s="127">
        <v>15</v>
      </c>
      <c r="Q181" s="127">
        <v>20.9</v>
      </c>
      <c r="R181" s="127">
        <v>20.5</v>
      </c>
      <c r="S181" s="127">
        <v>18</v>
      </c>
      <c r="T181" s="127">
        <v>0</v>
      </c>
      <c r="U181" s="153">
        <v>0</v>
      </c>
      <c r="V181" s="131"/>
      <c r="W181" s="128">
        <v>0.2</v>
      </c>
      <c r="X181" s="131">
        <v>8</v>
      </c>
      <c r="Y181" s="131">
        <v>8</v>
      </c>
      <c r="Z181" s="133" t="s">
        <v>82</v>
      </c>
      <c r="AA181" s="134">
        <v>12</v>
      </c>
      <c r="AB181" s="122">
        <v>8.4</v>
      </c>
    </row>
    <row r="182" spans="1:28" ht="14.5">
      <c r="A182" s="394">
        <f t="shared" si="7"/>
        <v>45105</v>
      </c>
      <c r="B182" s="130">
        <v>74.400000000000006</v>
      </c>
      <c r="C182" s="124">
        <v>29.922000000000001</v>
      </c>
      <c r="D182" s="128">
        <v>1013.278608</v>
      </c>
      <c r="E182" s="128" t="s">
        <v>103</v>
      </c>
      <c r="F182" s="122">
        <v>82.263950544450537</v>
      </c>
      <c r="G182" s="113">
        <v>16.789009710193124</v>
      </c>
      <c r="H182" s="130">
        <v>19.899999999999999</v>
      </c>
      <c r="I182" s="127">
        <v>20</v>
      </c>
      <c r="J182" s="127">
        <v>18</v>
      </c>
      <c r="K182" s="127">
        <v>24.1</v>
      </c>
      <c r="L182" s="127" t="s">
        <v>103</v>
      </c>
      <c r="M182" s="43">
        <f t="shared" si="6"/>
        <v>20.55</v>
      </c>
      <c r="N182" s="127">
        <v>17</v>
      </c>
      <c r="O182" s="127">
        <v>15.6</v>
      </c>
      <c r="P182" s="127">
        <v>10.5</v>
      </c>
      <c r="Q182" s="127">
        <v>21.1</v>
      </c>
      <c r="R182" s="127">
        <v>20.3</v>
      </c>
      <c r="S182" s="127">
        <v>18.2</v>
      </c>
      <c r="T182" s="127">
        <v>3.2</v>
      </c>
      <c r="U182" s="153">
        <v>0</v>
      </c>
      <c r="V182" s="131"/>
      <c r="W182" s="128">
        <v>0.6</v>
      </c>
      <c r="X182" s="131">
        <v>8</v>
      </c>
      <c r="Y182" s="131">
        <v>8</v>
      </c>
      <c r="Z182" s="133" t="s">
        <v>82</v>
      </c>
      <c r="AA182" s="134">
        <v>12</v>
      </c>
      <c r="AB182" s="122">
        <v>8.4</v>
      </c>
    </row>
    <row r="183" spans="1:28" ht="14.5">
      <c r="A183" s="394">
        <f t="shared" si="7"/>
        <v>45106</v>
      </c>
      <c r="B183" s="130">
        <v>72.599999999999994</v>
      </c>
      <c r="C183" s="124">
        <v>29.905999999999999</v>
      </c>
      <c r="D183" s="128">
        <v>1012.7367839999998</v>
      </c>
      <c r="E183" s="128" t="s">
        <v>103</v>
      </c>
      <c r="F183" s="122">
        <v>63.365387838391996</v>
      </c>
      <c r="G183" s="113">
        <v>11.417753678329936</v>
      </c>
      <c r="H183" s="130">
        <v>18.5</v>
      </c>
      <c r="I183" s="127">
        <v>18.600000000000001</v>
      </c>
      <c r="J183" s="127">
        <v>14.6</v>
      </c>
      <c r="K183" s="127">
        <v>23</v>
      </c>
      <c r="L183" s="127" t="s">
        <v>103</v>
      </c>
      <c r="M183" s="43">
        <f t="shared" si="6"/>
        <v>18.5</v>
      </c>
      <c r="N183" s="127">
        <v>14</v>
      </c>
      <c r="O183" s="127">
        <v>14.3</v>
      </c>
      <c r="P183" s="127">
        <v>15.2</v>
      </c>
      <c r="Q183" s="127">
        <v>20.7</v>
      </c>
      <c r="R183" s="127">
        <v>20.3</v>
      </c>
      <c r="S183" s="127">
        <v>18.100000000000001</v>
      </c>
      <c r="T183" s="127">
        <v>0</v>
      </c>
      <c r="U183" s="153">
        <v>0</v>
      </c>
      <c r="V183" s="131"/>
      <c r="W183" s="128">
        <v>10</v>
      </c>
      <c r="X183" s="131">
        <v>8</v>
      </c>
      <c r="Y183" s="131">
        <v>5</v>
      </c>
      <c r="Z183" s="133" t="s">
        <v>82</v>
      </c>
      <c r="AA183" s="134">
        <v>10</v>
      </c>
      <c r="AB183" s="122">
        <v>7</v>
      </c>
    </row>
    <row r="184" spans="1:28" ht="14.5">
      <c r="A184" s="394">
        <f t="shared" si="7"/>
        <v>45107</v>
      </c>
      <c r="B184" s="130">
        <v>72.8</v>
      </c>
      <c r="C184" s="124">
        <v>29.771999999999998</v>
      </c>
      <c r="D184" s="128">
        <v>1008.1990079999998</v>
      </c>
      <c r="E184" s="128" t="s">
        <v>103</v>
      </c>
      <c r="F184" s="122">
        <v>68.015140149812908</v>
      </c>
      <c r="G184" s="113">
        <v>10.868579170384821</v>
      </c>
      <c r="H184" s="130">
        <v>16.8</v>
      </c>
      <c r="I184" s="127">
        <v>16.899999999999999</v>
      </c>
      <c r="J184" s="127">
        <v>13.6</v>
      </c>
      <c r="K184" s="127">
        <v>18.5</v>
      </c>
      <c r="L184" s="127" t="s">
        <v>103</v>
      </c>
      <c r="M184" s="43">
        <f t="shared" si="6"/>
        <v>14.35</v>
      </c>
      <c r="N184" s="127">
        <v>10.199999999999999</v>
      </c>
      <c r="O184" s="127">
        <v>6.8</v>
      </c>
      <c r="P184" s="127">
        <v>10.7</v>
      </c>
      <c r="Q184" s="127">
        <v>19.5</v>
      </c>
      <c r="R184" s="127">
        <v>20.3</v>
      </c>
      <c r="S184" s="127">
        <v>18.100000000000001</v>
      </c>
      <c r="T184" s="127">
        <v>1.1000000000000001</v>
      </c>
      <c r="U184" s="153">
        <v>1</v>
      </c>
      <c r="V184" s="131"/>
      <c r="W184" s="128">
        <v>0.1</v>
      </c>
      <c r="X184" s="131">
        <v>8</v>
      </c>
      <c r="Y184" s="131">
        <v>8</v>
      </c>
      <c r="Z184" s="133" t="s">
        <v>82</v>
      </c>
      <c r="AA184" s="134">
        <v>14</v>
      </c>
      <c r="AB184" s="122">
        <v>9.8000000000000007</v>
      </c>
    </row>
    <row r="185" spans="1:28" ht="14.5">
      <c r="A185" s="394">
        <f t="shared" si="7"/>
        <v>45108</v>
      </c>
      <c r="B185" s="384">
        <v>73.400000000000006</v>
      </c>
      <c r="C185" s="185">
        <v>29.58</v>
      </c>
      <c r="D185" s="234">
        <v>1001.6971199999998</v>
      </c>
      <c r="E185" s="186" t="s">
        <v>103</v>
      </c>
      <c r="F185" s="187">
        <v>68.513686899479126</v>
      </c>
      <c r="G185" s="188">
        <v>12.411923778870756</v>
      </c>
      <c r="H185" s="189">
        <v>18.3</v>
      </c>
      <c r="I185" s="190">
        <v>18.399999999999999</v>
      </c>
      <c r="J185" s="172">
        <v>15</v>
      </c>
      <c r="K185" s="190">
        <v>22.6</v>
      </c>
      <c r="L185" s="190" t="s">
        <v>103</v>
      </c>
      <c r="M185" s="43">
        <f t="shared" si="6"/>
        <v>19.200000000000003</v>
      </c>
      <c r="N185" s="190">
        <v>15.8</v>
      </c>
      <c r="O185" s="191">
        <v>15.3</v>
      </c>
      <c r="P185" s="191">
        <v>15.9</v>
      </c>
      <c r="Q185" s="192">
        <v>19</v>
      </c>
      <c r="R185" s="192">
        <v>19.600000000000001</v>
      </c>
      <c r="S185" s="192">
        <v>18.100000000000001</v>
      </c>
      <c r="T185" s="193">
        <v>0</v>
      </c>
      <c r="U185" s="194">
        <v>1</v>
      </c>
      <c r="V185" s="195"/>
      <c r="W185" s="192">
        <v>6.1</v>
      </c>
      <c r="X185" s="194">
        <v>8</v>
      </c>
      <c r="Y185" s="194">
        <v>7</v>
      </c>
      <c r="Z185" s="196" t="s">
        <v>82</v>
      </c>
      <c r="AA185" s="197">
        <v>12</v>
      </c>
      <c r="AB185" s="198">
        <v>8.4</v>
      </c>
    </row>
    <row r="186" spans="1:28" ht="14.5">
      <c r="A186" s="394">
        <f t="shared" si="7"/>
        <v>45109</v>
      </c>
      <c r="B186" s="385">
        <v>72.599999999999994</v>
      </c>
      <c r="C186" s="199">
        <v>29.748000000000001</v>
      </c>
      <c r="D186" s="234">
        <v>1007.386272</v>
      </c>
      <c r="E186" s="234" t="s">
        <v>103</v>
      </c>
      <c r="F186" s="187">
        <v>59.780150698779721</v>
      </c>
      <c r="G186" s="187">
        <v>8.3781521336579345</v>
      </c>
      <c r="H186" s="236">
        <v>16.2</v>
      </c>
      <c r="I186" s="172">
        <v>16.3</v>
      </c>
      <c r="J186" s="172">
        <v>12.2</v>
      </c>
      <c r="K186" s="172">
        <v>20.2</v>
      </c>
      <c r="L186" s="172" t="s">
        <v>103</v>
      </c>
      <c r="M186" s="43">
        <f t="shared" si="6"/>
        <v>15.8</v>
      </c>
      <c r="N186" s="172">
        <v>11.4</v>
      </c>
      <c r="O186" s="172">
        <v>8.1999999999999993</v>
      </c>
      <c r="P186" s="172">
        <v>11.2</v>
      </c>
      <c r="Q186" s="172">
        <v>19.399999999999999</v>
      </c>
      <c r="R186" s="172">
        <v>19.399999999999999</v>
      </c>
      <c r="S186" s="172">
        <v>18</v>
      </c>
      <c r="T186" s="234">
        <v>0</v>
      </c>
      <c r="U186" s="238">
        <v>0</v>
      </c>
      <c r="V186" s="195"/>
      <c r="W186" s="172" t="s">
        <v>105</v>
      </c>
      <c r="X186" s="238">
        <v>8</v>
      </c>
      <c r="Y186" s="238">
        <v>6</v>
      </c>
      <c r="Z186" s="239" t="s">
        <v>82</v>
      </c>
      <c r="AA186" s="240">
        <v>15</v>
      </c>
      <c r="AB186" s="198">
        <v>10.5</v>
      </c>
    </row>
    <row r="187" spans="1:28" ht="14.5">
      <c r="A187" s="394">
        <f t="shared" si="7"/>
        <v>45110</v>
      </c>
      <c r="B187" s="226">
        <v>71.7</v>
      </c>
      <c r="C187" s="235">
        <v>29.713999999999999</v>
      </c>
      <c r="D187" s="234">
        <v>1006.2348959999998</v>
      </c>
      <c r="E187" s="234" t="s">
        <v>103</v>
      </c>
      <c r="F187" s="187">
        <v>53.837487133174747</v>
      </c>
      <c r="G187" s="187">
        <v>7.2153760079412397</v>
      </c>
      <c r="H187" s="236">
        <v>16.600000000000001</v>
      </c>
      <c r="I187" s="172">
        <v>16.600000000000001</v>
      </c>
      <c r="J187" s="200">
        <v>11.9</v>
      </c>
      <c r="K187" s="172">
        <v>18.399999999999999</v>
      </c>
      <c r="L187" s="172" t="s">
        <v>103</v>
      </c>
      <c r="M187" s="43">
        <f t="shared" si="6"/>
        <v>14.899999999999999</v>
      </c>
      <c r="N187" s="172">
        <v>11.4</v>
      </c>
      <c r="O187" s="172">
        <v>7.8</v>
      </c>
      <c r="P187" s="172">
        <v>10.9</v>
      </c>
      <c r="Q187" s="172">
        <v>18.7</v>
      </c>
      <c r="R187" s="172">
        <v>19.100000000000001</v>
      </c>
      <c r="S187" s="172">
        <v>18</v>
      </c>
      <c r="T187" s="234">
        <v>4.4000000000000004</v>
      </c>
      <c r="U187" s="238">
        <v>0</v>
      </c>
      <c r="V187" s="195"/>
      <c r="W187" s="172">
        <v>4.5</v>
      </c>
      <c r="X187" s="238">
        <v>8</v>
      </c>
      <c r="Y187" s="238">
        <v>7</v>
      </c>
      <c r="Z187" s="239" t="s">
        <v>87</v>
      </c>
      <c r="AA187" s="240">
        <v>13</v>
      </c>
      <c r="AB187" s="198">
        <v>9.1</v>
      </c>
    </row>
    <row r="188" spans="1:28" ht="14.5">
      <c r="A188" s="394">
        <f t="shared" si="7"/>
        <v>45111</v>
      </c>
      <c r="B188" s="226">
        <v>70.8</v>
      </c>
      <c r="C188" s="235">
        <v>29.715</v>
      </c>
      <c r="D188" s="234">
        <v>1006.2687599999999</v>
      </c>
      <c r="E188" s="234" t="s">
        <v>103</v>
      </c>
      <c r="F188" s="187">
        <v>84.048279987525987</v>
      </c>
      <c r="G188" s="187">
        <v>10.957719242663901</v>
      </c>
      <c r="H188" s="202">
        <v>13.6</v>
      </c>
      <c r="I188" s="202">
        <v>13.7</v>
      </c>
      <c r="J188" s="234">
        <v>12.2</v>
      </c>
      <c r="K188" s="172">
        <v>15.2</v>
      </c>
      <c r="L188" s="172" t="s">
        <v>103</v>
      </c>
      <c r="M188" s="43">
        <f t="shared" si="6"/>
        <v>13.85</v>
      </c>
      <c r="N188" s="172">
        <v>12.5</v>
      </c>
      <c r="O188" s="172">
        <v>11.3</v>
      </c>
      <c r="P188" s="172">
        <v>12.2</v>
      </c>
      <c r="Q188" s="172">
        <v>16.5</v>
      </c>
      <c r="R188" s="193">
        <v>18.600000000000001</v>
      </c>
      <c r="S188" s="172">
        <v>17.8</v>
      </c>
      <c r="T188" s="234">
        <v>12.3</v>
      </c>
      <c r="U188" s="200">
        <v>1</v>
      </c>
      <c r="V188" s="195"/>
      <c r="W188" s="172">
        <v>0</v>
      </c>
      <c r="X188" s="200">
        <v>8</v>
      </c>
      <c r="Y188" s="200">
        <v>7</v>
      </c>
      <c r="Z188" s="239" t="s">
        <v>83</v>
      </c>
      <c r="AA188" s="240">
        <v>10</v>
      </c>
      <c r="AB188" s="198">
        <v>7</v>
      </c>
    </row>
    <row r="189" spans="1:28" ht="14.5">
      <c r="A189" s="394">
        <f t="shared" si="7"/>
        <v>45112</v>
      </c>
      <c r="B189" s="236">
        <v>70.099999999999994</v>
      </c>
      <c r="C189" s="203">
        <v>29.725999999999999</v>
      </c>
      <c r="D189" s="234">
        <v>1006.6412639999999</v>
      </c>
      <c r="E189" s="234" t="s">
        <v>103</v>
      </c>
      <c r="F189" s="198">
        <v>75.636538004093751</v>
      </c>
      <c r="G189" s="187">
        <v>11.121855990671095</v>
      </c>
      <c r="H189" s="236">
        <v>15.4</v>
      </c>
      <c r="I189" s="172">
        <v>15.2</v>
      </c>
      <c r="J189" s="172">
        <v>13.1</v>
      </c>
      <c r="K189" s="172">
        <v>20.399999999999999</v>
      </c>
      <c r="L189" s="172" t="s">
        <v>103</v>
      </c>
      <c r="M189" s="43">
        <f t="shared" si="6"/>
        <v>14.5</v>
      </c>
      <c r="N189" s="172">
        <v>8.6</v>
      </c>
      <c r="O189" s="172">
        <v>5.6</v>
      </c>
      <c r="P189" s="172">
        <v>8.3000000000000007</v>
      </c>
      <c r="Q189" s="172">
        <v>15.1</v>
      </c>
      <c r="R189" s="172">
        <v>17.5</v>
      </c>
      <c r="S189" s="172">
        <v>17.8</v>
      </c>
      <c r="T189" s="234">
        <v>0.9</v>
      </c>
      <c r="U189" s="238">
        <v>1</v>
      </c>
      <c r="V189" s="195"/>
      <c r="W189" s="172">
        <v>3.9</v>
      </c>
      <c r="X189" s="238">
        <v>8</v>
      </c>
      <c r="Y189" s="238">
        <v>7</v>
      </c>
      <c r="Z189" s="239" t="s">
        <v>87</v>
      </c>
      <c r="AA189" s="240">
        <v>12</v>
      </c>
      <c r="AB189" s="198">
        <v>8.4</v>
      </c>
    </row>
    <row r="190" spans="1:28" ht="14.5">
      <c r="A190" s="394">
        <f t="shared" si="7"/>
        <v>45113</v>
      </c>
      <c r="B190" s="236">
        <v>71.3</v>
      </c>
      <c r="C190" s="203">
        <v>29.86</v>
      </c>
      <c r="D190" s="234">
        <v>1011.1790399999999</v>
      </c>
      <c r="E190" s="234" t="s">
        <v>103</v>
      </c>
      <c r="F190" s="198">
        <v>59.918052210608423</v>
      </c>
      <c r="G190" s="187">
        <v>9.9173308662982169</v>
      </c>
      <c r="H190" s="236">
        <v>17.8</v>
      </c>
      <c r="I190" s="172">
        <v>17.899999999999999</v>
      </c>
      <c r="J190" s="172">
        <v>13.6</v>
      </c>
      <c r="K190" s="172">
        <v>21.3</v>
      </c>
      <c r="L190" s="172" t="s">
        <v>103</v>
      </c>
      <c r="M190" s="43">
        <f t="shared" si="6"/>
        <v>15.9</v>
      </c>
      <c r="N190" s="172">
        <v>10.5</v>
      </c>
      <c r="O190" s="172">
        <v>7.5</v>
      </c>
      <c r="P190" s="172">
        <v>9.4</v>
      </c>
      <c r="Q190" s="172">
        <v>15.9</v>
      </c>
      <c r="R190" s="172">
        <v>17.7</v>
      </c>
      <c r="S190" s="172">
        <v>17.600000000000001</v>
      </c>
      <c r="T190" s="234">
        <v>0</v>
      </c>
      <c r="U190" s="238">
        <v>1</v>
      </c>
      <c r="V190" s="241"/>
      <c r="W190" s="172">
        <v>9.5500000000000007</v>
      </c>
      <c r="X190" s="238">
        <v>8</v>
      </c>
      <c r="Y190" s="238">
        <v>3</v>
      </c>
      <c r="Z190" s="239" t="s">
        <v>82</v>
      </c>
      <c r="AA190" s="240">
        <v>10</v>
      </c>
      <c r="AB190" s="198">
        <v>7</v>
      </c>
    </row>
    <row r="191" spans="1:28" ht="14.5">
      <c r="A191" s="394">
        <f t="shared" si="7"/>
        <v>45114</v>
      </c>
      <c r="B191" s="236">
        <v>71.099999999999994</v>
      </c>
      <c r="C191" s="203">
        <v>29.87</v>
      </c>
      <c r="D191" s="234">
        <v>1011.5176799999999</v>
      </c>
      <c r="E191" s="234" t="s">
        <v>103</v>
      </c>
      <c r="F191" s="198">
        <v>49.870095450867311</v>
      </c>
      <c r="G191" s="187">
        <v>10.059287370151441</v>
      </c>
      <c r="H191" s="236">
        <v>20.9</v>
      </c>
      <c r="I191" s="172">
        <v>20.9</v>
      </c>
      <c r="J191" s="172">
        <v>15</v>
      </c>
      <c r="K191" s="172">
        <v>28.1</v>
      </c>
      <c r="L191" s="172" t="s">
        <v>103</v>
      </c>
      <c r="M191" s="43">
        <f t="shared" si="6"/>
        <v>20.149999999999999</v>
      </c>
      <c r="N191" s="234">
        <v>12.2</v>
      </c>
      <c r="O191" s="172">
        <v>10</v>
      </c>
      <c r="P191" s="172">
        <v>11.5</v>
      </c>
      <c r="Q191" s="172">
        <v>17.8</v>
      </c>
      <c r="R191" s="172">
        <v>18.3</v>
      </c>
      <c r="S191" s="172">
        <v>17.5</v>
      </c>
      <c r="T191" s="234" t="s">
        <v>91</v>
      </c>
      <c r="U191" s="238">
        <v>1</v>
      </c>
      <c r="V191" s="204"/>
      <c r="W191" s="172">
        <v>14.5</v>
      </c>
      <c r="X191" s="237">
        <v>8</v>
      </c>
      <c r="Y191" s="237">
        <v>1</v>
      </c>
      <c r="Z191" s="239" t="s">
        <v>82</v>
      </c>
      <c r="AA191" s="240">
        <v>9</v>
      </c>
      <c r="AB191" s="198">
        <v>6.3000000000000007</v>
      </c>
    </row>
    <row r="192" spans="1:28" ht="14.5">
      <c r="A192" s="394">
        <f t="shared" si="7"/>
        <v>45115</v>
      </c>
      <c r="B192" s="236">
        <v>73.2</v>
      </c>
      <c r="C192" s="203">
        <v>29.83</v>
      </c>
      <c r="D192" s="234">
        <v>1010.1631199999998</v>
      </c>
      <c r="E192" s="234" t="s">
        <v>103</v>
      </c>
      <c r="F192" s="198">
        <v>66.372859030769348</v>
      </c>
      <c r="G192" s="187">
        <v>15.926166402596596</v>
      </c>
      <c r="H192" s="236">
        <v>22.5</v>
      </c>
      <c r="I192" s="172">
        <v>22.6</v>
      </c>
      <c r="J192" s="172">
        <v>18.5</v>
      </c>
      <c r="K192" s="172">
        <v>24.7</v>
      </c>
      <c r="L192" s="172" t="s">
        <v>103</v>
      </c>
      <c r="M192" s="43">
        <f t="shared" si="6"/>
        <v>21.95</v>
      </c>
      <c r="N192" s="172">
        <v>19.2</v>
      </c>
      <c r="O192" s="172">
        <v>15.2</v>
      </c>
      <c r="P192" s="172">
        <v>18.399999999999999</v>
      </c>
      <c r="Q192" s="172">
        <v>21.2</v>
      </c>
      <c r="R192" s="172">
        <v>19.5</v>
      </c>
      <c r="S192" s="172">
        <v>17.3</v>
      </c>
      <c r="T192" s="172">
        <v>2.6</v>
      </c>
      <c r="U192" s="238">
        <v>9</v>
      </c>
      <c r="V192" s="234"/>
      <c r="W192" s="234">
        <v>4.6500000000000004</v>
      </c>
      <c r="X192" s="238">
        <v>8</v>
      </c>
      <c r="Y192" s="238">
        <v>8</v>
      </c>
      <c r="Z192" s="239" t="s">
        <v>82</v>
      </c>
      <c r="AA192" s="240">
        <v>10</v>
      </c>
      <c r="AB192" s="198">
        <v>7</v>
      </c>
    </row>
    <row r="193" spans="1:28" ht="14.5">
      <c r="A193" s="394">
        <f t="shared" si="7"/>
        <v>45116</v>
      </c>
      <c r="B193" s="236">
        <v>72.8</v>
      </c>
      <c r="C193" s="203">
        <v>29.96</v>
      </c>
      <c r="D193" s="234">
        <v>1014.56544</v>
      </c>
      <c r="E193" s="234" t="s">
        <v>103</v>
      </c>
      <c r="F193" s="198">
        <v>80.041364018424716</v>
      </c>
      <c r="G193" s="187">
        <v>14.022261752120665</v>
      </c>
      <c r="H193" s="236">
        <v>17.5</v>
      </c>
      <c r="I193" s="172">
        <v>17.5</v>
      </c>
      <c r="J193" s="172">
        <v>15.5</v>
      </c>
      <c r="K193" s="172">
        <v>23.8</v>
      </c>
      <c r="L193" s="172" t="s">
        <v>103</v>
      </c>
      <c r="M193" s="43">
        <f t="shared" si="6"/>
        <v>19.05</v>
      </c>
      <c r="N193" s="172">
        <v>14.3</v>
      </c>
      <c r="O193" s="172">
        <v>11.3</v>
      </c>
      <c r="P193" s="172">
        <v>13.7</v>
      </c>
      <c r="Q193" s="172">
        <v>18.399999999999999</v>
      </c>
      <c r="R193" s="172">
        <v>19.600000000000001</v>
      </c>
      <c r="S193" s="172">
        <v>17.399999999999999</v>
      </c>
      <c r="T193" s="234" t="s">
        <v>91</v>
      </c>
      <c r="U193" s="205">
        <v>1</v>
      </c>
      <c r="V193" s="206"/>
      <c r="W193" s="172">
        <v>9.15</v>
      </c>
      <c r="X193" s="238">
        <v>8</v>
      </c>
      <c r="Y193" s="238">
        <v>6</v>
      </c>
      <c r="Z193" s="239" t="s">
        <v>89</v>
      </c>
      <c r="AA193" s="240">
        <v>4</v>
      </c>
      <c r="AB193" s="198">
        <v>2.8</v>
      </c>
    </row>
    <row r="194" spans="1:28" ht="14.5">
      <c r="A194" s="394">
        <f t="shared" si="7"/>
        <v>45117</v>
      </c>
      <c r="B194" s="236">
        <v>72.400000000000006</v>
      </c>
      <c r="C194" s="203">
        <v>29.975999999999999</v>
      </c>
      <c r="D194" s="234">
        <v>1015.1072639999999</v>
      </c>
      <c r="E194" s="234" t="s">
        <v>103</v>
      </c>
      <c r="F194" s="198">
        <v>68.696410681523574</v>
      </c>
      <c r="G194" s="187">
        <v>12.643632468924809</v>
      </c>
      <c r="H194" s="236">
        <v>18.5</v>
      </c>
      <c r="I194" s="172">
        <v>18.5</v>
      </c>
      <c r="J194" s="172">
        <v>15.2</v>
      </c>
      <c r="K194" s="172">
        <v>22.4</v>
      </c>
      <c r="L194" s="172" t="s">
        <v>103</v>
      </c>
      <c r="M194" s="43">
        <f t="shared" ref="M194:M257" si="8">AVERAGE(K194,N194)</f>
        <v>17.7</v>
      </c>
      <c r="N194" s="172">
        <v>13</v>
      </c>
      <c r="O194" s="172">
        <v>9.5</v>
      </c>
      <c r="P194" s="172">
        <v>12.5</v>
      </c>
      <c r="Q194" s="172">
        <v>19.2</v>
      </c>
      <c r="R194" s="172">
        <v>19.600000000000001</v>
      </c>
      <c r="S194" s="172">
        <v>17.5</v>
      </c>
      <c r="T194" s="172">
        <v>11.5</v>
      </c>
      <c r="U194" s="238">
        <v>1</v>
      </c>
      <c r="V194" s="242"/>
      <c r="W194" s="234">
        <v>5.75</v>
      </c>
      <c r="X194" s="238">
        <v>8</v>
      </c>
      <c r="Y194" s="238">
        <v>8</v>
      </c>
      <c r="Z194" s="239" t="s">
        <v>82</v>
      </c>
      <c r="AA194" s="240">
        <v>12</v>
      </c>
      <c r="AB194" s="198">
        <v>8.4</v>
      </c>
    </row>
    <row r="195" spans="1:28" ht="14.5">
      <c r="A195" s="394">
        <f t="shared" si="7"/>
        <v>45118</v>
      </c>
      <c r="B195" s="236">
        <v>72.900000000000006</v>
      </c>
      <c r="C195" s="235">
        <v>29.693999999999999</v>
      </c>
      <c r="D195" s="234">
        <v>1005.5576159999999</v>
      </c>
      <c r="E195" s="234" t="s">
        <v>103</v>
      </c>
      <c r="F195" s="198">
        <v>74.97815043354224</v>
      </c>
      <c r="G195" s="187">
        <v>13.88828970073893</v>
      </c>
      <c r="H195" s="236">
        <v>18.399999999999999</v>
      </c>
      <c r="I195" s="172">
        <v>18.3</v>
      </c>
      <c r="J195" s="172">
        <v>15.8</v>
      </c>
      <c r="K195" s="172">
        <v>21.1</v>
      </c>
      <c r="L195" s="172" t="s">
        <v>103</v>
      </c>
      <c r="M195" s="43">
        <f t="shared" si="8"/>
        <v>18</v>
      </c>
      <c r="N195" s="172">
        <v>14.9</v>
      </c>
      <c r="O195" s="192">
        <v>14.6</v>
      </c>
      <c r="P195" s="172">
        <v>15.4</v>
      </c>
      <c r="Q195" s="184">
        <v>18.899999999999999</v>
      </c>
      <c r="R195" s="172">
        <v>19.5</v>
      </c>
      <c r="S195" s="172">
        <v>17.600000000000001</v>
      </c>
      <c r="T195" s="172">
        <v>4.7</v>
      </c>
      <c r="U195" s="238">
        <v>1</v>
      </c>
      <c r="V195" s="206"/>
      <c r="W195" s="172">
        <v>1.5</v>
      </c>
      <c r="X195" s="238">
        <v>8</v>
      </c>
      <c r="Y195" s="238">
        <v>8</v>
      </c>
      <c r="Z195" s="239" t="s">
        <v>82</v>
      </c>
      <c r="AA195" s="240">
        <v>11</v>
      </c>
      <c r="AB195" s="198">
        <v>7.7</v>
      </c>
    </row>
    <row r="196" spans="1:28" ht="14.5">
      <c r="A196" s="394">
        <f t="shared" si="7"/>
        <v>45119</v>
      </c>
      <c r="B196" s="236">
        <v>72.400000000000006</v>
      </c>
      <c r="C196" s="235">
        <v>29.478000000000002</v>
      </c>
      <c r="D196" s="193">
        <v>998.24299199999996</v>
      </c>
      <c r="E196" s="234" t="s">
        <v>103</v>
      </c>
      <c r="F196" s="198">
        <v>64.823546178885422</v>
      </c>
      <c r="G196" s="187">
        <v>11.477052952245629</v>
      </c>
      <c r="H196" s="236">
        <v>18.2</v>
      </c>
      <c r="I196" s="172">
        <v>18.100000000000001</v>
      </c>
      <c r="J196" s="243">
        <v>14.5</v>
      </c>
      <c r="K196" s="172">
        <v>21.3</v>
      </c>
      <c r="L196" s="172" t="s">
        <v>103</v>
      </c>
      <c r="M196" s="43">
        <f t="shared" si="8"/>
        <v>17.05</v>
      </c>
      <c r="N196" s="172">
        <v>12.8</v>
      </c>
      <c r="O196" s="192">
        <v>11.2</v>
      </c>
      <c r="P196" s="172">
        <v>11.8</v>
      </c>
      <c r="Q196" s="172">
        <v>17.8</v>
      </c>
      <c r="R196" s="172">
        <v>19.2</v>
      </c>
      <c r="S196" s="172">
        <v>17.7</v>
      </c>
      <c r="T196" s="172">
        <v>0.9</v>
      </c>
      <c r="U196" s="238">
        <v>1</v>
      </c>
      <c r="V196" s="172"/>
      <c r="W196" s="172">
        <v>9.75</v>
      </c>
      <c r="X196" s="238">
        <v>8</v>
      </c>
      <c r="Y196" s="238">
        <v>5</v>
      </c>
      <c r="Z196" s="239" t="s">
        <v>87</v>
      </c>
      <c r="AA196" s="240">
        <v>15</v>
      </c>
      <c r="AB196" s="198">
        <v>10.5</v>
      </c>
    </row>
    <row r="197" spans="1:28" ht="14.5">
      <c r="A197" s="394">
        <f t="shared" si="7"/>
        <v>45120</v>
      </c>
      <c r="B197" s="236">
        <v>72.8</v>
      </c>
      <c r="C197" s="235">
        <v>29.86</v>
      </c>
      <c r="D197" s="234">
        <v>1011.1790399999999</v>
      </c>
      <c r="E197" s="234" t="s">
        <v>103</v>
      </c>
      <c r="F197" s="198">
        <v>68.966309707944944</v>
      </c>
      <c r="G197" s="187">
        <v>12.990303998816122</v>
      </c>
      <c r="H197" s="236">
        <v>18.8</v>
      </c>
      <c r="I197" s="172">
        <v>18.7</v>
      </c>
      <c r="J197" s="172">
        <v>15.5</v>
      </c>
      <c r="K197" s="172">
        <v>22.6</v>
      </c>
      <c r="L197" s="172" t="s">
        <v>103</v>
      </c>
      <c r="M197" s="43">
        <f t="shared" si="8"/>
        <v>18</v>
      </c>
      <c r="N197" s="172">
        <v>13.4</v>
      </c>
      <c r="O197" s="192">
        <v>12.6</v>
      </c>
      <c r="P197" s="172">
        <v>13.4</v>
      </c>
      <c r="Q197" s="172">
        <v>17.5</v>
      </c>
      <c r="R197" s="172">
        <v>19.3</v>
      </c>
      <c r="S197" s="172">
        <v>17.899999999999999</v>
      </c>
      <c r="T197" s="172">
        <v>0.8</v>
      </c>
      <c r="U197" s="238">
        <v>0</v>
      </c>
      <c r="V197" s="195"/>
      <c r="W197" s="172">
        <v>7.5</v>
      </c>
      <c r="X197" s="238">
        <v>8</v>
      </c>
      <c r="Y197" s="238">
        <v>6</v>
      </c>
      <c r="Z197" s="239" t="s">
        <v>87</v>
      </c>
      <c r="AA197" s="240">
        <v>9</v>
      </c>
      <c r="AB197" s="198">
        <v>6.3000000000000007</v>
      </c>
    </row>
    <row r="198" spans="1:28" ht="14.5">
      <c r="A198" s="394">
        <f t="shared" ref="A198:A261" si="9">A197+1</f>
        <v>45121</v>
      </c>
      <c r="B198" s="236">
        <v>71.3</v>
      </c>
      <c r="C198" s="235">
        <v>29.7</v>
      </c>
      <c r="D198" s="234">
        <v>1005.7607999999999</v>
      </c>
      <c r="E198" s="234" t="s">
        <v>103</v>
      </c>
      <c r="F198" s="198">
        <v>90.187852014825694</v>
      </c>
      <c r="G198" s="187">
        <v>13.603510740528922</v>
      </c>
      <c r="H198" s="236">
        <v>15.2</v>
      </c>
      <c r="I198" s="172">
        <v>15.2</v>
      </c>
      <c r="J198" s="172">
        <v>14.3</v>
      </c>
      <c r="K198" s="172">
        <v>18.3</v>
      </c>
      <c r="L198" s="172" t="s">
        <v>103</v>
      </c>
      <c r="M198" s="43">
        <f t="shared" si="8"/>
        <v>15.95</v>
      </c>
      <c r="N198" s="172">
        <v>13.6</v>
      </c>
      <c r="O198" s="192">
        <v>11.4</v>
      </c>
      <c r="P198" s="172">
        <v>13.9</v>
      </c>
      <c r="Q198" s="172">
        <v>17.5</v>
      </c>
      <c r="R198" s="172">
        <v>19.399999999999999</v>
      </c>
      <c r="S198" s="172">
        <v>17.600000000000001</v>
      </c>
      <c r="T198" s="172">
        <v>24.7</v>
      </c>
      <c r="U198" s="238">
        <v>1</v>
      </c>
      <c r="V198" s="195"/>
      <c r="W198" s="172">
        <v>0</v>
      </c>
      <c r="X198" s="238">
        <v>8</v>
      </c>
      <c r="Y198" s="238">
        <v>8</v>
      </c>
      <c r="Z198" s="239" t="s">
        <v>98</v>
      </c>
      <c r="AA198" s="240">
        <v>7</v>
      </c>
      <c r="AB198" s="198">
        <v>4.9000000000000004</v>
      </c>
    </row>
    <row r="199" spans="1:28" ht="14.5">
      <c r="A199" s="394">
        <f t="shared" si="9"/>
        <v>45122</v>
      </c>
      <c r="B199" s="209">
        <v>71.400000000000006</v>
      </c>
      <c r="C199" s="208">
        <v>29.346</v>
      </c>
      <c r="D199" s="234">
        <v>993.77294399999994</v>
      </c>
      <c r="E199" s="234" t="s">
        <v>103</v>
      </c>
      <c r="F199" s="198">
        <v>73.754441860444317</v>
      </c>
      <c r="G199" s="187">
        <v>13.249581278351441</v>
      </c>
      <c r="H199" s="209">
        <v>18</v>
      </c>
      <c r="I199" s="207">
        <v>18</v>
      </c>
      <c r="J199" s="207">
        <v>15.3</v>
      </c>
      <c r="K199" s="207">
        <v>20.5</v>
      </c>
      <c r="L199" s="172" t="s">
        <v>103</v>
      </c>
      <c r="M199" s="43">
        <f t="shared" si="8"/>
        <v>17.2</v>
      </c>
      <c r="N199" s="207">
        <v>13.9</v>
      </c>
      <c r="O199" s="186">
        <v>12.8</v>
      </c>
      <c r="P199" s="207">
        <v>13.2</v>
      </c>
      <c r="Q199" s="207">
        <v>17</v>
      </c>
      <c r="R199" s="207">
        <v>18.5</v>
      </c>
      <c r="S199" s="207">
        <v>17.7</v>
      </c>
      <c r="T199" s="207">
        <v>0.6</v>
      </c>
      <c r="U199" s="210">
        <v>1</v>
      </c>
      <c r="V199" s="211"/>
      <c r="W199" s="207">
        <v>9</v>
      </c>
      <c r="X199" s="210">
        <v>8</v>
      </c>
      <c r="Y199" s="210">
        <v>4</v>
      </c>
      <c r="Z199" s="212" t="s">
        <v>89</v>
      </c>
      <c r="AA199" s="213">
        <v>16</v>
      </c>
      <c r="AB199" s="198">
        <v>11.2</v>
      </c>
    </row>
    <row r="200" spans="1:28" ht="14.5">
      <c r="A200" s="394">
        <f t="shared" si="9"/>
        <v>45123</v>
      </c>
      <c r="B200" s="209">
        <v>69.8</v>
      </c>
      <c r="C200" s="235">
        <v>29.667999999999999</v>
      </c>
      <c r="D200" s="234">
        <v>1004.6771519999999</v>
      </c>
      <c r="E200" s="234" t="s">
        <v>103</v>
      </c>
      <c r="F200" s="198">
        <v>66.636149061065467</v>
      </c>
      <c r="G200" s="187">
        <v>11.03722214639887</v>
      </c>
      <c r="H200" s="236">
        <v>17.3</v>
      </c>
      <c r="I200" s="172">
        <v>17.2</v>
      </c>
      <c r="J200" s="172">
        <v>13.9</v>
      </c>
      <c r="K200" s="207">
        <v>19.5</v>
      </c>
      <c r="L200" s="172" t="s">
        <v>103</v>
      </c>
      <c r="M200" s="43">
        <f t="shared" si="8"/>
        <v>16.350000000000001</v>
      </c>
      <c r="N200" s="172">
        <v>13.2</v>
      </c>
      <c r="O200" s="192">
        <v>11.8</v>
      </c>
      <c r="P200" s="172">
        <v>12.2</v>
      </c>
      <c r="Q200" s="172">
        <v>16.600000000000001</v>
      </c>
      <c r="R200" s="172">
        <v>18.600000000000001</v>
      </c>
      <c r="S200" s="172">
        <v>17.600000000000001</v>
      </c>
      <c r="T200" s="207">
        <v>0.6</v>
      </c>
      <c r="U200" s="238">
        <v>1</v>
      </c>
      <c r="V200" s="195"/>
      <c r="W200" s="207">
        <v>4.25</v>
      </c>
      <c r="X200" s="238">
        <v>8</v>
      </c>
      <c r="Y200" s="238">
        <v>6</v>
      </c>
      <c r="Z200" s="239" t="s">
        <v>82</v>
      </c>
      <c r="AA200" s="172">
        <v>18</v>
      </c>
      <c r="AB200" s="198">
        <v>12.600000000000001</v>
      </c>
    </row>
    <row r="201" spans="1:28" ht="14.5">
      <c r="A201" s="394">
        <f t="shared" si="9"/>
        <v>45124</v>
      </c>
      <c r="B201" s="209">
        <v>70.2</v>
      </c>
      <c r="C201" s="208">
        <v>29.888000000000002</v>
      </c>
      <c r="D201" s="234">
        <v>1012.1272319999999</v>
      </c>
      <c r="E201" s="234" t="s">
        <v>103</v>
      </c>
      <c r="F201" s="198">
        <v>64.510531901887532</v>
      </c>
      <c r="G201" s="187">
        <v>11.119305539979212</v>
      </c>
      <c r="H201" s="209">
        <v>17.899999999999999</v>
      </c>
      <c r="I201" s="207">
        <v>18</v>
      </c>
      <c r="J201" s="213">
        <v>14.2</v>
      </c>
      <c r="K201" s="172">
        <v>22.3</v>
      </c>
      <c r="L201" s="172" t="s">
        <v>103</v>
      </c>
      <c r="M201" s="43">
        <f t="shared" si="8"/>
        <v>16.649999999999999</v>
      </c>
      <c r="N201" s="209">
        <v>11</v>
      </c>
      <c r="O201" s="186">
        <v>7.9</v>
      </c>
      <c r="P201" s="207">
        <v>10</v>
      </c>
      <c r="Q201" s="172">
        <v>16.399999999999999</v>
      </c>
      <c r="R201" s="207">
        <v>18.399999999999999</v>
      </c>
      <c r="S201" s="213">
        <v>17.600000000000001</v>
      </c>
      <c r="T201" s="172">
        <v>0</v>
      </c>
      <c r="U201" s="214">
        <v>1</v>
      </c>
      <c r="V201" s="195"/>
      <c r="W201" s="172">
        <v>11.3</v>
      </c>
      <c r="X201" s="215">
        <v>8</v>
      </c>
      <c r="Y201" s="210">
        <v>4</v>
      </c>
      <c r="Z201" s="212" t="s">
        <v>82</v>
      </c>
      <c r="AA201" s="213">
        <v>12</v>
      </c>
      <c r="AB201" s="198">
        <v>8.4</v>
      </c>
    </row>
    <row r="202" spans="1:28" ht="14.5">
      <c r="A202" s="394">
        <f t="shared" si="9"/>
        <v>45125</v>
      </c>
      <c r="B202" s="236">
        <v>71</v>
      </c>
      <c r="C202" s="235">
        <v>29.949000000000002</v>
      </c>
      <c r="D202" s="234">
        <v>1014.1929359999999</v>
      </c>
      <c r="E202" s="234" t="s">
        <v>103</v>
      </c>
      <c r="F202" s="198">
        <v>68.779559968364239</v>
      </c>
      <c r="G202" s="187">
        <v>11.801674573287357</v>
      </c>
      <c r="H202" s="209">
        <v>17.600000000000001</v>
      </c>
      <c r="I202" s="207">
        <v>17.7</v>
      </c>
      <c r="J202" s="207">
        <v>14.4</v>
      </c>
      <c r="K202" s="216">
        <v>21.4</v>
      </c>
      <c r="L202" s="216" t="s">
        <v>103</v>
      </c>
      <c r="M202" s="43">
        <f t="shared" si="8"/>
        <v>16.25</v>
      </c>
      <c r="N202" s="207">
        <v>11.1</v>
      </c>
      <c r="O202" s="186">
        <v>10.5</v>
      </c>
      <c r="P202" s="207">
        <v>12.2</v>
      </c>
      <c r="Q202" s="207">
        <v>17.5</v>
      </c>
      <c r="R202" s="207">
        <v>19</v>
      </c>
      <c r="S202" s="213">
        <v>17.5</v>
      </c>
      <c r="T202" s="172">
        <v>1.1000000000000001</v>
      </c>
      <c r="U202" s="217">
        <v>1</v>
      </c>
      <c r="V202" s="218"/>
      <c r="W202" s="216">
        <v>3.5</v>
      </c>
      <c r="X202" s="210">
        <v>8</v>
      </c>
      <c r="Y202" s="210">
        <v>6</v>
      </c>
      <c r="Z202" s="212" t="s">
        <v>82</v>
      </c>
      <c r="AA202" s="207">
        <v>6</v>
      </c>
      <c r="AB202" s="219">
        <v>4.2</v>
      </c>
    </row>
    <row r="203" spans="1:28" ht="14.5">
      <c r="A203" s="394">
        <f t="shared" si="9"/>
        <v>45126</v>
      </c>
      <c r="B203" s="209">
        <v>71.599999999999994</v>
      </c>
      <c r="C203" s="208">
        <v>29.83</v>
      </c>
      <c r="D203" s="201">
        <v>1010.1631199999998</v>
      </c>
      <c r="E203" s="234" t="s">
        <v>103</v>
      </c>
      <c r="F203" s="198">
        <v>72.82703090239518</v>
      </c>
      <c r="G203" s="187">
        <v>13.055856534729315</v>
      </c>
      <c r="H203" s="236">
        <v>18</v>
      </c>
      <c r="I203" s="172">
        <v>18.3</v>
      </c>
      <c r="J203" s="172">
        <v>15.2</v>
      </c>
      <c r="K203" s="234">
        <v>23.2</v>
      </c>
      <c r="L203" s="200" t="s">
        <v>103</v>
      </c>
      <c r="M203" s="43">
        <f t="shared" si="8"/>
        <v>18.649999999999999</v>
      </c>
      <c r="N203" s="172">
        <v>14.1</v>
      </c>
      <c r="O203" s="192">
        <v>13.5</v>
      </c>
      <c r="P203" s="172">
        <v>15.2</v>
      </c>
      <c r="Q203" s="172">
        <v>18.399999999999999</v>
      </c>
      <c r="R203" s="172">
        <v>19.399999999999999</v>
      </c>
      <c r="S203" s="172">
        <v>17.7</v>
      </c>
      <c r="T203" s="220">
        <v>0</v>
      </c>
      <c r="U203" s="238">
        <v>1</v>
      </c>
      <c r="V203" s="195"/>
      <c r="W203" s="172">
        <v>7.25</v>
      </c>
      <c r="X203" s="238">
        <v>8</v>
      </c>
      <c r="Y203" s="238">
        <v>5</v>
      </c>
      <c r="Z203" s="239" t="s">
        <v>87</v>
      </c>
      <c r="AA203" s="172">
        <v>13</v>
      </c>
      <c r="AB203" s="198">
        <v>9.1</v>
      </c>
    </row>
    <row r="204" spans="1:28" ht="14.5">
      <c r="A204" s="394">
        <f t="shared" si="9"/>
        <v>45127</v>
      </c>
      <c r="B204" s="386">
        <v>70.900000000000006</v>
      </c>
      <c r="C204" s="221">
        <v>29.888000000000002</v>
      </c>
      <c r="D204" s="234">
        <v>1012.1272319999999</v>
      </c>
      <c r="E204" s="234" t="s">
        <v>103</v>
      </c>
      <c r="F204" s="198">
        <v>54.840720839779877</v>
      </c>
      <c r="G204" s="187">
        <v>9.3471795254665704</v>
      </c>
      <c r="H204" s="202">
        <v>18.600000000000001</v>
      </c>
      <c r="I204" s="200">
        <v>18.399999999999999</v>
      </c>
      <c r="J204" s="200">
        <v>13.7</v>
      </c>
      <c r="K204" s="172">
        <v>21.1</v>
      </c>
      <c r="L204" s="172" t="s">
        <v>103</v>
      </c>
      <c r="M204" s="43">
        <f t="shared" si="8"/>
        <v>15.8</v>
      </c>
      <c r="N204" s="200">
        <v>10.5</v>
      </c>
      <c r="O204" s="183">
        <v>9.6</v>
      </c>
      <c r="P204" s="234">
        <v>11.3</v>
      </c>
      <c r="Q204" s="234">
        <v>18.399999999999999</v>
      </c>
      <c r="R204" s="200">
        <v>19.5</v>
      </c>
      <c r="S204" s="234">
        <v>17.600000000000001</v>
      </c>
      <c r="T204" s="172">
        <v>0</v>
      </c>
      <c r="U204" s="237">
        <v>1</v>
      </c>
      <c r="V204" s="206"/>
      <c r="W204" s="172">
        <v>7.9</v>
      </c>
      <c r="X204" s="200">
        <v>8</v>
      </c>
      <c r="Y204" s="200">
        <v>5</v>
      </c>
      <c r="Z204" s="222" t="s">
        <v>82</v>
      </c>
      <c r="AA204" s="234">
        <v>4</v>
      </c>
      <c r="AB204" s="223">
        <v>2.8</v>
      </c>
    </row>
    <row r="205" spans="1:28" ht="14.5">
      <c r="A205" s="394">
        <f t="shared" si="9"/>
        <v>45128</v>
      </c>
      <c r="B205" s="226">
        <v>70.7</v>
      </c>
      <c r="C205" s="224">
        <v>29.824000000000002</v>
      </c>
      <c r="D205" s="234">
        <v>1009.959936</v>
      </c>
      <c r="E205" s="172" t="s">
        <v>103</v>
      </c>
      <c r="F205" s="225">
        <v>32.326975460330381</v>
      </c>
      <c r="G205" s="187">
        <v>5.1413272174760491</v>
      </c>
      <c r="H205" s="226">
        <v>22.5</v>
      </c>
      <c r="I205" s="191">
        <v>17.399999999999999</v>
      </c>
      <c r="J205" s="191">
        <v>13.8</v>
      </c>
      <c r="K205" s="172">
        <v>20.399999999999999</v>
      </c>
      <c r="L205" s="191" t="s">
        <v>103</v>
      </c>
      <c r="M205" s="43">
        <f t="shared" si="8"/>
        <v>14.899999999999999</v>
      </c>
      <c r="N205" s="191">
        <v>9.4</v>
      </c>
      <c r="O205" s="190">
        <v>8.5</v>
      </c>
      <c r="P205" s="191">
        <v>10</v>
      </c>
      <c r="Q205" s="227">
        <v>17.5</v>
      </c>
      <c r="R205" s="191">
        <v>19.2</v>
      </c>
      <c r="S205" s="191">
        <v>17.7</v>
      </c>
      <c r="T205" s="191">
        <v>0.3</v>
      </c>
      <c r="U205" s="228">
        <v>1</v>
      </c>
      <c r="V205" s="229"/>
      <c r="W205" s="227">
        <v>5.8</v>
      </c>
      <c r="X205" s="230">
        <v>8</v>
      </c>
      <c r="Y205" s="230">
        <v>6</v>
      </c>
      <c r="Z205" s="231" t="s">
        <v>82</v>
      </c>
      <c r="AA205" s="232">
        <v>7</v>
      </c>
      <c r="AB205" s="233">
        <v>4.9000000000000004</v>
      </c>
    </row>
    <row r="206" spans="1:28" ht="14.5">
      <c r="A206" s="394">
        <f t="shared" si="9"/>
        <v>45129</v>
      </c>
      <c r="B206" s="236">
        <v>70</v>
      </c>
      <c r="C206" s="235">
        <v>29.699000000000002</v>
      </c>
      <c r="D206" s="234">
        <v>1005.726936</v>
      </c>
      <c r="E206" s="234" t="s">
        <v>103</v>
      </c>
      <c r="F206" s="198">
        <v>83.180047661465494</v>
      </c>
      <c r="G206" s="187">
        <v>13.149351683253943</v>
      </c>
      <c r="H206" s="236">
        <v>16</v>
      </c>
      <c r="I206" s="172">
        <v>16</v>
      </c>
      <c r="J206" s="172">
        <v>14.4</v>
      </c>
      <c r="K206" s="184">
        <v>19.600000000000001</v>
      </c>
      <c r="L206" s="172" t="s">
        <v>103</v>
      </c>
      <c r="M206" s="43">
        <f t="shared" si="8"/>
        <v>16.149999999999999</v>
      </c>
      <c r="N206" s="172">
        <v>12.7</v>
      </c>
      <c r="O206" s="192">
        <v>11.9</v>
      </c>
      <c r="P206" s="172">
        <v>13.2</v>
      </c>
      <c r="Q206" s="172">
        <v>17.5</v>
      </c>
      <c r="R206" s="172">
        <v>18.7</v>
      </c>
      <c r="S206" s="172">
        <v>17.7</v>
      </c>
      <c r="T206" s="172">
        <v>13.6</v>
      </c>
      <c r="U206" s="237">
        <v>1</v>
      </c>
      <c r="V206" s="238"/>
      <c r="W206" s="234">
        <v>0</v>
      </c>
      <c r="X206" s="237">
        <v>8</v>
      </c>
      <c r="Y206" s="237">
        <v>8</v>
      </c>
      <c r="Z206" s="239" t="s">
        <v>82</v>
      </c>
      <c r="AA206" s="240">
        <v>15</v>
      </c>
      <c r="AB206" s="198">
        <v>10.5</v>
      </c>
    </row>
    <row r="207" spans="1:28" ht="14.5">
      <c r="A207" s="394">
        <f t="shared" si="9"/>
        <v>45130</v>
      </c>
      <c r="B207" s="236">
        <v>70.8</v>
      </c>
      <c r="C207" s="235">
        <v>29.472000000000001</v>
      </c>
      <c r="D207" s="234">
        <v>998.03980799999999</v>
      </c>
      <c r="E207" s="234" t="s">
        <v>103</v>
      </c>
      <c r="F207" s="198">
        <v>74.857950275482381</v>
      </c>
      <c r="G207" s="187">
        <v>14.925734648253679</v>
      </c>
      <c r="H207" s="236">
        <v>19.5</v>
      </c>
      <c r="I207" s="192">
        <v>19.600000000000001</v>
      </c>
      <c r="J207" s="172">
        <v>16.8</v>
      </c>
      <c r="K207" s="172">
        <v>23.7</v>
      </c>
      <c r="L207" s="172" t="s">
        <v>103</v>
      </c>
      <c r="M207" s="43">
        <f t="shared" si="8"/>
        <v>18.95</v>
      </c>
      <c r="N207" s="172">
        <v>14.2</v>
      </c>
      <c r="O207" s="192">
        <v>13.5</v>
      </c>
      <c r="P207" s="172">
        <v>15.4</v>
      </c>
      <c r="Q207" s="172">
        <v>18</v>
      </c>
      <c r="R207" s="172">
        <v>18.399999999999999</v>
      </c>
      <c r="S207" s="172">
        <v>17.5</v>
      </c>
      <c r="T207" s="234">
        <v>3.3</v>
      </c>
      <c r="U207" s="237">
        <v>1</v>
      </c>
      <c r="V207" s="238"/>
      <c r="W207" s="172">
        <v>8.5</v>
      </c>
      <c r="X207" s="238">
        <v>8</v>
      </c>
      <c r="Y207" s="238">
        <v>7</v>
      </c>
      <c r="Z207" s="239" t="s">
        <v>82</v>
      </c>
      <c r="AA207" s="240">
        <v>20</v>
      </c>
      <c r="AB207" s="198">
        <v>14</v>
      </c>
    </row>
    <row r="208" spans="1:28" ht="14.5">
      <c r="A208" s="394">
        <f t="shared" si="9"/>
        <v>45131</v>
      </c>
      <c r="B208" s="236">
        <v>70</v>
      </c>
      <c r="C208" s="235">
        <v>29.552</v>
      </c>
      <c r="D208" s="234">
        <v>1000.7489279999999</v>
      </c>
      <c r="E208" s="234" t="s">
        <v>103</v>
      </c>
      <c r="F208" s="198">
        <v>97.692853770932146</v>
      </c>
      <c r="G208" s="187">
        <v>13.441348926502567</v>
      </c>
      <c r="H208" s="236">
        <v>13.8</v>
      </c>
      <c r="I208" s="172">
        <v>13.9</v>
      </c>
      <c r="J208" s="172">
        <v>13.6</v>
      </c>
      <c r="K208" s="172">
        <v>17.5</v>
      </c>
      <c r="L208" s="172" t="s">
        <v>103</v>
      </c>
      <c r="M208" s="43">
        <f t="shared" si="8"/>
        <v>15.25</v>
      </c>
      <c r="N208" s="172">
        <v>13</v>
      </c>
      <c r="O208" s="192">
        <v>12</v>
      </c>
      <c r="P208" s="172">
        <v>15.1</v>
      </c>
      <c r="Q208" s="172">
        <v>17.5</v>
      </c>
      <c r="R208" s="172">
        <v>19.3</v>
      </c>
      <c r="S208" s="172">
        <v>17.5</v>
      </c>
      <c r="T208" s="234">
        <v>0.4</v>
      </c>
      <c r="U208" s="237">
        <v>1</v>
      </c>
      <c r="V208" s="238"/>
      <c r="W208" s="172">
        <v>0.1</v>
      </c>
      <c r="X208" s="238">
        <v>8</v>
      </c>
      <c r="Y208" s="238">
        <v>8</v>
      </c>
      <c r="Z208" s="239" t="s">
        <v>90</v>
      </c>
      <c r="AA208" s="240">
        <v>13</v>
      </c>
      <c r="AB208" s="198">
        <v>9.1</v>
      </c>
    </row>
    <row r="209" spans="1:28" ht="14.5">
      <c r="A209" s="394">
        <f t="shared" si="9"/>
        <v>45132</v>
      </c>
      <c r="B209" s="236">
        <v>70.2</v>
      </c>
      <c r="C209" s="235">
        <v>29.71</v>
      </c>
      <c r="D209" s="234">
        <v>1006.09944</v>
      </c>
      <c r="E209" s="172" t="s">
        <v>103</v>
      </c>
      <c r="F209" s="198">
        <v>63.574038782155839</v>
      </c>
      <c r="G209" s="187">
        <v>9.2887156978314085</v>
      </c>
      <c r="H209" s="236">
        <v>16.2</v>
      </c>
      <c r="I209" s="172">
        <v>16.3</v>
      </c>
      <c r="J209" s="172">
        <v>12.6</v>
      </c>
      <c r="K209" s="172">
        <v>19.899999999999999</v>
      </c>
      <c r="L209" s="172" t="s">
        <v>103</v>
      </c>
      <c r="M209" s="43">
        <f t="shared" si="8"/>
        <v>15.6</v>
      </c>
      <c r="N209" s="172">
        <v>11.3</v>
      </c>
      <c r="O209" s="192">
        <v>7.6</v>
      </c>
      <c r="P209" s="172">
        <v>10.8</v>
      </c>
      <c r="Q209" s="172">
        <v>16.399999999999999</v>
      </c>
      <c r="R209" s="172">
        <v>18.899999999999999</v>
      </c>
      <c r="S209" s="172">
        <v>17.5</v>
      </c>
      <c r="T209" s="172" t="s">
        <v>93</v>
      </c>
      <c r="U209" s="237">
        <v>1</v>
      </c>
      <c r="V209" s="238"/>
      <c r="W209" s="234">
        <v>7.8</v>
      </c>
      <c r="X209" s="238">
        <v>8</v>
      </c>
      <c r="Y209" s="238">
        <v>5</v>
      </c>
      <c r="Z209" s="239" t="s">
        <v>82</v>
      </c>
      <c r="AA209" s="240">
        <v>6</v>
      </c>
      <c r="AB209" s="198">
        <v>4.2</v>
      </c>
    </row>
    <row r="210" spans="1:28" ht="14.5">
      <c r="A210" s="394">
        <f t="shared" si="9"/>
        <v>45133</v>
      </c>
      <c r="B210" s="236">
        <v>69.599999999999994</v>
      </c>
      <c r="C210" s="235">
        <v>29.78</v>
      </c>
      <c r="D210" s="234">
        <v>1008.46992</v>
      </c>
      <c r="E210" s="234" t="s">
        <v>103</v>
      </c>
      <c r="F210" s="198">
        <v>57.131793392584953</v>
      </c>
      <c r="G210" s="187">
        <v>9.1150631486340039</v>
      </c>
      <c r="H210" s="236">
        <v>17.7</v>
      </c>
      <c r="I210" s="172">
        <v>17.8</v>
      </c>
      <c r="J210" s="172">
        <v>13.2</v>
      </c>
      <c r="K210" s="172">
        <v>21.3</v>
      </c>
      <c r="L210" s="172" t="s">
        <v>103</v>
      </c>
      <c r="M210" s="43">
        <f t="shared" si="8"/>
        <v>15.2</v>
      </c>
      <c r="N210" s="172">
        <v>9.1</v>
      </c>
      <c r="O210" s="192">
        <v>5.9</v>
      </c>
      <c r="P210" s="172">
        <v>9.4</v>
      </c>
      <c r="Q210" s="172">
        <v>15.7</v>
      </c>
      <c r="R210" s="172">
        <v>18.5</v>
      </c>
      <c r="S210" s="172">
        <v>17.7</v>
      </c>
      <c r="T210" s="172">
        <v>13.7</v>
      </c>
      <c r="U210" s="237">
        <v>1</v>
      </c>
      <c r="V210" s="238"/>
      <c r="W210" s="234">
        <v>8.1</v>
      </c>
      <c r="X210" s="238">
        <v>8</v>
      </c>
      <c r="Y210" s="238">
        <v>4</v>
      </c>
      <c r="Z210" s="239" t="s">
        <v>82</v>
      </c>
      <c r="AA210" s="240">
        <v>7</v>
      </c>
      <c r="AB210" s="198">
        <v>4.9000000000000004</v>
      </c>
    </row>
    <row r="211" spans="1:28" ht="14.5">
      <c r="A211" s="394">
        <f t="shared" si="9"/>
        <v>45134</v>
      </c>
      <c r="B211" s="236">
        <v>69.8</v>
      </c>
      <c r="C211" s="235">
        <v>29.484999999999999</v>
      </c>
      <c r="D211" s="193">
        <v>998.48003999999992</v>
      </c>
      <c r="E211" s="234" t="s">
        <v>103</v>
      </c>
      <c r="F211" s="198">
        <v>90.335502842152749</v>
      </c>
      <c r="G211" s="187">
        <v>17.579828518555523</v>
      </c>
      <c r="H211" s="236">
        <v>19.2</v>
      </c>
      <c r="I211" s="172">
        <v>19.399999999999999</v>
      </c>
      <c r="J211" s="172">
        <v>18.2</v>
      </c>
      <c r="K211" s="172">
        <v>23.4</v>
      </c>
      <c r="L211" s="172" t="s">
        <v>103</v>
      </c>
      <c r="M211" s="43">
        <f t="shared" si="8"/>
        <v>19</v>
      </c>
      <c r="N211" s="172">
        <v>14.6</v>
      </c>
      <c r="O211" s="192">
        <v>13.5</v>
      </c>
      <c r="P211" s="172">
        <v>15.7</v>
      </c>
      <c r="Q211" s="172">
        <v>18.399999999999999</v>
      </c>
      <c r="R211" s="172">
        <v>18.7</v>
      </c>
      <c r="S211" s="172">
        <v>17.5</v>
      </c>
      <c r="T211" s="172" t="s">
        <v>93</v>
      </c>
      <c r="U211" s="237">
        <v>1</v>
      </c>
      <c r="V211" s="238"/>
      <c r="W211" s="234">
        <v>5</v>
      </c>
      <c r="X211" s="238">
        <v>7</v>
      </c>
      <c r="Y211" s="238">
        <v>8</v>
      </c>
      <c r="Z211" s="239" t="s">
        <v>104</v>
      </c>
      <c r="AA211" s="240">
        <v>12</v>
      </c>
      <c r="AB211" s="198">
        <v>8.4</v>
      </c>
    </row>
    <row r="212" spans="1:28" ht="14.5">
      <c r="A212" s="394">
        <f t="shared" si="9"/>
        <v>45135</v>
      </c>
      <c r="B212" s="236">
        <v>71.8</v>
      </c>
      <c r="C212" s="235">
        <v>29.571999999999999</v>
      </c>
      <c r="D212" s="234">
        <v>1001.4262079999999</v>
      </c>
      <c r="E212" s="234" t="s">
        <v>103</v>
      </c>
      <c r="F212" s="198">
        <v>73.823947334088032</v>
      </c>
      <c r="G212" s="187">
        <v>14.517238916536593</v>
      </c>
      <c r="H212" s="236">
        <v>19.3</v>
      </c>
      <c r="I212" s="172">
        <v>19.3</v>
      </c>
      <c r="J212" s="172">
        <v>16.5</v>
      </c>
      <c r="K212" s="172">
        <v>22.8</v>
      </c>
      <c r="L212" s="172" t="s">
        <v>103</v>
      </c>
      <c r="M212" s="43">
        <f t="shared" si="8"/>
        <v>19.3</v>
      </c>
      <c r="N212" s="172">
        <v>15.8</v>
      </c>
      <c r="O212" s="192">
        <v>14.6</v>
      </c>
      <c r="P212" s="172">
        <v>16</v>
      </c>
      <c r="Q212" s="172">
        <v>18.600000000000001</v>
      </c>
      <c r="R212" s="172">
        <v>19.2</v>
      </c>
      <c r="S212" s="172">
        <v>17.5</v>
      </c>
      <c r="T212" s="172">
        <v>0.4</v>
      </c>
      <c r="U212" s="237">
        <v>1</v>
      </c>
      <c r="V212" s="238"/>
      <c r="W212" s="234">
        <v>2.6</v>
      </c>
      <c r="X212" s="238">
        <v>8</v>
      </c>
      <c r="Y212" s="238">
        <v>7</v>
      </c>
      <c r="Z212" s="239" t="s">
        <v>82</v>
      </c>
      <c r="AA212" s="240">
        <v>12</v>
      </c>
      <c r="AB212" s="198">
        <v>8.4</v>
      </c>
    </row>
    <row r="213" spans="1:28" ht="14.5">
      <c r="A213" s="394">
        <f t="shared" si="9"/>
        <v>45136</v>
      </c>
      <c r="B213" s="236">
        <v>71.400000000000006</v>
      </c>
      <c r="C213" s="235">
        <v>29.556000000000001</v>
      </c>
      <c r="D213" s="234">
        <v>1000.884384</v>
      </c>
      <c r="E213" s="234" t="s">
        <v>103</v>
      </c>
      <c r="F213" s="198">
        <v>59.894129011128861</v>
      </c>
      <c r="G213" s="187">
        <v>11.980014101321759</v>
      </c>
      <c r="H213" s="236">
        <v>20</v>
      </c>
      <c r="I213" s="172">
        <v>19</v>
      </c>
      <c r="J213" s="172">
        <v>15.5</v>
      </c>
      <c r="K213" s="172">
        <v>22.1</v>
      </c>
      <c r="L213" s="172" t="s">
        <v>103</v>
      </c>
      <c r="M213" s="43">
        <f t="shared" si="8"/>
        <v>18.649999999999999</v>
      </c>
      <c r="N213" s="172">
        <v>15.2</v>
      </c>
      <c r="O213" s="192">
        <v>15.1</v>
      </c>
      <c r="P213" s="172">
        <v>15.2</v>
      </c>
      <c r="Q213" s="172">
        <v>18.2</v>
      </c>
      <c r="R213" s="172">
        <v>19.5</v>
      </c>
      <c r="S213" s="172">
        <v>17.600000000000001</v>
      </c>
      <c r="T213" s="172" t="s">
        <v>93</v>
      </c>
      <c r="U213" s="237">
        <v>1</v>
      </c>
      <c r="V213" s="238"/>
      <c r="W213" s="234">
        <v>10.5</v>
      </c>
      <c r="X213" s="238">
        <v>8</v>
      </c>
      <c r="Y213" s="238">
        <v>5</v>
      </c>
      <c r="Z213" s="239" t="s">
        <v>87</v>
      </c>
      <c r="AA213" s="240">
        <v>18</v>
      </c>
      <c r="AB213" s="198">
        <v>12.600000000000001</v>
      </c>
    </row>
    <row r="214" spans="1:28" ht="14.5">
      <c r="A214" s="394">
        <f t="shared" si="9"/>
        <v>45137</v>
      </c>
      <c r="B214" s="236">
        <v>70.8</v>
      </c>
      <c r="C214" s="235">
        <v>29.698</v>
      </c>
      <c r="D214" s="234">
        <v>1005.6930719999999</v>
      </c>
      <c r="E214" s="234" t="s">
        <v>103</v>
      </c>
      <c r="F214" s="198">
        <v>65.029007433373749</v>
      </c>
      <c r="G214" s="187">
        <v>11.714801986080341</v>
      </c>
      <c r="H214" s="236">
        <v>18.399999999999999</v>
      </c>
      <c r="I214" s="172">
        <v>18.5</v>
      </c>
      <c r="J214" s="172">
        <v>14.7</v>
      </c>
      <c r="K214" s="172">
        <v>19.7</v>
      </c>
      <c r="L214" s="172" t="s">
        <v>103</v>
      </c>
      <c r="M214" s="43">
        <f t="shared" si="8"/>
        <v>16.850000000000001</v>
      </c>
      <c r="N214" s="172">
        <v>14</v>
      </c>
      <c r="O214" s="192">
        <v>13.6</v>
      </c>
      <c r="P214" s="172">
        <v>13.6</v>
      </c>
      <c r="Q214" s="172">
        <v>17.899999999999999</v>
      </c>
      <c r="R214" s="172">
        <v>19.100000000000001</v>
      </c>
      <c r="S214" s="172">
        <v>17.7</v>
      </c>
      <c r="T214" s="172">
        <v>3.1</v>
      </c>
      <c r="U214" s="237">
        <v>1</v>
      </c>
      <c r="V214" s="238"/>
      <c r="W214" s="234">
        <v>4.25</v>
      </c>
      <c r="X214" s="238">
        <v>8</v>
      </c>
      <c r="Y214" s="238">
        <v>4</v>
      </c>
      <c r="Z214" s="239" t="s">
        <v>82</v>
      </c>
      <c r="AA214" s="240">
        <v>17</v>
      </c>
      <c r="AB214" s="198">
        <v>11.9</v>
      </c>
    </row>
    <row r="215" spans="1:28" ht="14.5">
      <c r="A215" s="394">
        <f t="shared" si="9"/>
        <v>45138</v>
      </c>
      <c r="B215" s="236">
        <v>70.8</v>
      </c>
      <c r="C215" s="235">
        <v>29.524000000000001</v>
      </c>
      <c r="D215" s="234">
        <v>999.80073599999992</v>
      </c>
      <c r="E215" s="234" t="s">
        <v>103</v>
      </c>
      <c r="F215" s="198">
        <v>81.447248520568166</v>
      </c>
      <c r="G215" s="187">
        <v>15.071336147464272</v>
      </c>
      <c r="H215" s="236">
        <v>18.3</v>
      </c>
      <c r="I215" s="172">
        <v>18.5</v>
      </c>
      <c r="J215" s="172">
        <v>16.399999999999999</v>
      </c>
      <c r="K215" s="172">
        <v>19.5</v>
      </c>
      <c r="L215" s="172" t="s">
        <v>103</v>
      </c>
      <c r="M215" s="43">
        <f t="shared" si="8"/>
        <v>17.899999999999999</v>
      </c>
      <c r="N215" s="172">
        <v>16.3</v>
      </c>
      <c r="O215" s="172">
        <v>15.8</v>
      </c>
      <c r="P215" s="172">
        <v>16.100000000000001</v>
      </c>
      <c r="Q215" s="172">
        <v>18.2</v>
      </c>
      <c r="R215" s="172">
        <v>19.3</v>
      </c>
      <c r="S215" s="172">
        <v>17.8</v>
      </c>
      <c r="T215" s="172">
        <v>0.4</v>
      </c>
      <c r="U215" s="237">
        <v>1</v>
      </c>
      <c r="V215" s="238"/>
      <c r="W215" s="234">
        <v>2.2999999999999998</v>
      </c>
      <c r="X215" s="238">
        <v>8</v>
      </c>
      <c r="Y215" s="238">
        <v>8</v>
      </c>
      <c r="Z215" s="239" t="s">
        <v>82</v>
      </c>
      <c r="AA215" s="240">
        <v>14</v>
      </c>
      <c r="AB215" s="198">
        <v>9.8000000000000007</v>
      </c>
    </row>
    <row r="216" spans="1:28" ht="14.5">
      <c r="A216" s="394">
        <f t="shared" si="9"/>
        <v>45139</v>
      </c>
      <c r="B216" s="387">
        <v>70.599999999999994</v>
      </c>
      <c r="C216" s="244">
        <v>29.48</v>
      </c>
      <c r="D216" s="245">
        <f>C216*[1]Constants!$B$19</f>
        <v>998.31071999999995</v>
      </c>
      <c r="E216" s="246" t="s">
        <v>103</v>
      </c>
      <c r="F216" s="247">
        <f>100*((([1]Constants!$B$25*EXP(([1]Constants!$B$24*J216)/(J216+[1]Constants!$B$23)))-0.8*(H216-J216))/([1]Constants!$B$25*EXP(([1]Constants!$B$24*H216)/(H216+[1]Constants!$B$23))))</f>
        <v>61.157565338226291</v>
      </c>
      <c r="G216" s="248">
        <f>([1]Constants!$B$23*LN((([1]Constants!$B$25*EXP(([1]Constants!$B$24*J216)/(J216+[1]Constants!$B$23)))-0.8*(H216-J216))/[1]Constants!$B$25))/([1]Constants!$B$24-LN((([1]Constants!$B$25*EXP(([1]Constants!$B$24*J216)/(J216+[1]Constants!$B$23)))-0.8*(H216-J216))/[1]Constants!$B$25))</f>
        <v>10.506161471442928</v>
      </c>
      <c r="H216" s="249">
        <v>18.100000000000001</v>
      </c>
      <c r="I216" s="250">
        <v>18.399999999999999</v>
      </c>
      <c r="J216" s="251">
        <v>14</v>
      </c>
      <c r="K216" s="250">
        <v>22.5</v>
      </c>
      <c r="L216" s="250" t="s">
        <v>103</v>
      </c>
      <c r="M216" s="43">
        <f t="shared" si="8"/>
        <v>18.05</v>
      </c>
      <c r="N216" s="250">
        <v>13.6</v>
      </c>
      <c r="O216" s="252">
        <v>13.1</v>
      </c>
      <c r="P216" s="252">
        <v>12.5</v>
      </c>
      <c r="Q216" s="253">
        <v>16.7</v>
      </c>
      <c r="R216" s="253">
        <v>18.899999999999999</v>
      </c>
      <c r="S216" s="253">
        <v>17.8</v>
      </c>
      <c r="T216" s="254">
        <v>3.2</v>
      </c>
      <c r="U216" s="255">
        <v>1</v>
      </c>
      <c r="V216" s="256"/>
      <c r="W216" s="253">
        <v>10.5</v>
      </c>
      <c r="X216" s="255">
        <v>8</v>
      </c>
      <c r="Y216" s="255">
        <v>6</v>
      </c>
      <c r="Z216" s="257" t="s">
        <v>82</v>
      </c>
      <c r="AA216" s="258">
        <v>14</v>
      </c>
      <c r="AB216" s="259">
        <f>AA216-(AA216*[1]Constants!$B$30)</f>
        <v>9.8000000000000007</v>
      </c>
    </row>
    <row r="217" spans="1:28" ht="14.5">
      <c r="A217" s="394">
        <f t="shared" si="9"/>
        <v>45140</v>
      </c>
      <c r="B217" s="388">
        <v>71.2</v>
      </c>
      <c r="C217" s="260">
        <v>29.033999999999999</v>
      </c>
      <c r="D217" s="245">
        <f>C217*[1]Constants!$B$19</f>
        <v>983.20737599999984</v>
      </c>
      <c r="E217" s="245" t="s">
        <v>103</v>
      </c>
      <c r="F217" s="247">
        <f>100*((([1]Constants!$B$25*EXP(([1]Constants!$B$24*J217)/(J217+[1]Constants!$B$23)))-0.8*(H217-J217))/([1]Constants!$B$25*EXP(([1]Constants!$B$24*H217)/(H217+[1]Constants!$B$23))))</f>
        <v>67.986415031479183</v>
      </c>
      <c r="G217" s="247">
        <f>([1]Constants!$B$23*LN((([1]Constants!$B$25*EXP(([1]Constants!$B$24*J217)/(J217+[1]Constants!$B$23)))-0.8*(H217-J217))/[1]Constants!$B$25))/([1]Constants!$B$24-LN((([1]Constants!$B$25*EXP(([1]Constants!$B$24*J217)/(J217+[1]Constants!$B$23)))-0.8*(H217-J217))/[1]Constants!$B$25))</f>
        <v>12.676230718465343</v>
      </c>
      <c r="H217" s="261">
        <v>18.7</v>
      </c>
      <c r="I217" s="251">
        <v>18.5</v>
      </c>
      <c r="J217" s="251">
        <v>15.3</v>
      </c>
      <c r="K217" s="251">
        <v>20.2</v>
      </c>
      <c r="L217" s="251" t="s">
        <v>103</v>
      </c>
      <c r="M217" s="43">
        <f t="shared" si="8"/>
        <v>17.3</v>
      </c>
      <c r="N217" s="251">
        <v>14.4</v>
      </c>
      <c r="O217" s="251">
        <v>15.1</v>
      </c>
      <c r="P217" s="251">
        <v>15.5</v>
      </c>
      <c r="Q217" s="251">
        <v>18.600000000000001</v>
      </c>
      <c r="R217" s="251">
        <v>19.3</v>
      </c>
      <c r="S217" s="251">
        <v>17.8</v>
      </c>
      <c r="T217" s="245">
        <v>9.1</v>
      </c>
      <c r="U217" s="262">
        <v>1</v>
      </c>
      <c r="V217" s="256"/>
      <c r="W217" s="251">
        <v>5.9</v>
      </c>
      <c r="X217" s="262">
        <v>8</v>
      </c>
      <c r="Y217" s="262">
        <v>5</v>
      </c>
      <c r="Z217" s="263" t="s">
        <v>87</v>
      </c>
      <c r="AA217" s="264">
        <v>13</v>
      </c>
      <c r="AB217" s="259">
        <f>AA217-(AA217*[1]Constants!$B$30)</f>
        <v>9.1</v>
      </c>
    </row>
    <row r="218" spans="1:28" ht="14.5">
      <c r="A218" s="394">
        <f t="shared" si="9"/>
        <v>45141</v>
      </c>
      <c r="B218" s="297">
        <v>71</v>
      </c>
      <c r="C218" s="265">
        <v>29.488</v>
      </c>
      <c r="D218" s="245">
        <f>C218*[1]Constants!$B$19</f>
        <v>998.5816319999999</v>
      </c>
      <c r="E218" s="245" t="s">
        <v>103</v>
      </c>
      <c r="F218" s="247">
        <f>100*((([1]Constants!$B$25*EXP(([1]Constants!$B$24*J218)/(J218+[1]Constants!$B$23)))-0.8*(H218-J218))/([1]Constants!$B$25*EXP(([1]Constants!$B$24*H218)/(H218+[1]Constants!$B$23))))</f>
        <v>65.51606667170023</v>
      </c>
      <c r="G218" s="247">
        <f>([1]Constants!$B$23*LN((([1]Constants!$B$25*EXP(([1]Constants!$B$24*J218)/(J218+[1]Constants!$B$23)))-0.8*(H218-J218))/[1]Constants!$B$25))/([1]Constants!$B$24-LN((([1]Constants!$B$25*EXP(([1]Constants!$B$24*J218)/(J218+[1]Constants!$B$23)))-0.8*(H218-J218))/[1]Constants!$B$25))</f>
        <v>11.447622209609248</v>
      </c>
      <c r="H218" s="261">
        <v>18</v>
      </c>
      <c r="I218" s="251">
        <v>18.100000000000001</v>
      </c>
      <c r="J218" s="266">
        <v>14.4</v>
      </c>
      <c r="K218" s="251">
        <v>21.8</v>
      </c>
      <c r="L218" s="251" t="s">
        <v>103</v>
      </c>
      <c r="M218" s="43">
        <f t="shared" si="8"/>
        <v>17.95</v>
      </c>
      <c r="N218" s="251">
        <v>14.1</v>
      </c>
      <c r="O218" s="251">
        <v>13.7</v>
      </c>
      <c r="P218" s="251">
        <v>13.9</v>
      </c>
      <c r="Q218" s="251">
        <v>19.2</v>
      </c>
      <c r="R218" s="251">
        <v>19.100000000000001</v>
      </c>
      <c r="S218" s="251">
        <v>17.600000000000001</v>
      </c>
      <c r="T218" s="245">
        <v>0</v>
      </c>
      <c r="U218" s="262">
        <v>1</v>
      </c>
      <c r="V218" s="256"/>
      <c r="W218" s="251">
        <v>6.3</v>
      </c>
      <c r="X218" s="262">
        <v>8</v>
      </c>
      <c r="Y218" s="262">
        <v>5</v>
      </c>
      <c r="Z218" s="263" t="s">
        <v>82</v>
      </c>
      <c r="AA218" s="264">
        <v>12</v>
      </c>
      <c r="AB218" s="259">
        <f>AA218-(AA218*[1]Constants!$B$30)</f>
        <v>8.4</v>
      </c>
    </row>
    <row r="219" spans="1:28" ht="14.5">
      <c r="A219" s="394">
        <f t="shared" si="9"/>
        <v>45142</v>
      </c>
      <c r="B219" s="297">
        <v>70</v>
      </c>
      <c r="C219" s="265">
        <v>29.923999999999999</v>
      </c>
      <c r="D219" s="245">
        <f>C219*[1]Constants!$B$19</f>
        <v>1013.346336</v>
      </c>
      <c r="E219" s="245" t="s">
        <v>103</v>
      </c>
      <c r="F219" s="247">
        <f>100*((([1]Constants!$B$25*EXP(([1]Constants!$B$24*J219)/(J219+[1]Constants!$B$23)))-0.8*(H219-J219))/([1]Constants!$B$25*EXP(([1]Constants!$B$24*H219)/(H219+[1]Constants!$B$23))))</f>
        <v>77.613088196422652</v>
      </c>
      <c r="G219" s="247">
        <f>([1]Constants!$B$23*LN((([1]Constants!$B$25*EXP(([1]Constants!$B$24*J219)/(J219+[1]Constants!$B$23)))-0.8*(H219-J219))/[1]Constants!$B$25))/([1]Constants!$B$24-LN((([1]Constants!$B$25*EXP(([1]Constants!$B$24*J219)/(J219+[1]Constants!$B$23)))-0.8*(H219-J219))/[1]Constants!$B$25))</f>
        <v>11.414134699993621</v>
      </c>
      <c r="H219" s="267">
        <v>15.3</v>
      </c>
      <c r="I219" s="267">
        <v>15.4</v>
      </c>
      <c r="J219" s="245">
        <v>13.2</v>
      </c>
      <c r="K219" s="251">
        <v>18.7</v>
      </c>
      <c r="L219" s="251" t="s">
        <v>103</v>
      </c>
      <c r="M219" s="43">
        <f t="shared" si="8"/>
        <v>15.649999999999999</v>
      </c>
      <c r="N219" s="251">
        <v>12.6</v>
      </c>
      <c r="O219" s="251">
        <v>12.4</v>
      </c>
      <c r="P219" s="251">
        <v>12.1</v>
      </c>
      <c r="Q219" s="251">
        <v>16.8</v>
      </c>
      <c r="R219" s="245">
        <v>19.2</v>
      </c>
      <c r="S219" s="251">
        <v>17.7</v>
      </c>
      <c r="T219" s="245">
        <v>4.4000000000000004</v>
      </c>
      <c r="U219" s="266">
        <v>1</v>
      </c>
      <c r="V219" s="256"/>
      <c r="W219" s="251">
        <v>0.5</v>
      </c>
      <c r="X219" s="266">
        <v>8</v>
      </c>
      <c r="Y219" s="266">
        <v>8</v>
      </c>
      <c r="Z219" s="263" t="s">
        <v>82</v>
      </c>
      <c r="AA219" s="264">
        <v>10</v>
      </c>
      <c r="AB219" s="259">
        <f>AA219-(AA219*[1]Constants!$B$30)</f>
        <v>7</v>
      </c>
    </row>
    <row r="220" spans="1:28" ht="14.5">
      <c r="A220" s="394">
        <f t="shared" si="9"/>
        <v>45143</v>
      </c>
      <c r="B220" s="261">
        <v>68.400000000000006</v>
      </c>
      <c r="C220" s="268">
        <v>29.504000000000001</v>
      </c>
      <c r="D220" s="245">
        <f>C220*[1]Constants!$B$19</f>
        <v>999.12345599999992</v>
      </c>
      <c r="E220" s="245" t="s">
        <v>103</v>
      </c>
      <c r="F220" s="259">
        <f>100*((([1]Constants!$B$25*EXP(([1]Constants!$B$24*J220)/(J220+[1]Constants!$B$23)))-0.8*(H220-J220))/([1]Constants!$B$25*EXP(([1]Constants!$B$24*H220)/(H220+[1]Constants!$B$23))))</f>
        <v>96.390412684337704</v>
      </c>
      <c r="G220" s="247">
        <f>([1]Constants!$B$23*LN((([1]Constants!$B$25*EXP(([1]Constants!$B$24*J220)/(J220+[1]Constants!$B$23)))-0.8*(H220-J220))/[1]Constants!$B$25))/([1]Constants!$B$24-LN((([1]Constants!$B$25*EXP(([1]Constants!$B$24*J220)/(J220+[1]Constants!$B$23)))-0.8*(H220-J220))/[1]Constants!$B$25))</f>
        <v>11.941257548441811</v>
      </c>
      <c r="H220" s="261">
        <v>12.5</v>
      </c>
      <c r="I220" s="251">
        <v>12.6</v>
      </c>
      <c r="J220" s="251">
        <v>12.2</v>
      </c>
      <c r="K220" s="251">
        <v>18.899999999999999</v>
      </c>
      <c r="L220" s="251" t="s">
        <v>103</v>
      </c>
      <c r="M220" s="43">
        <f t="shared" si="8"/>
        <v>15.25</v>
      </c>
      <c r="N220" s="251">
        <v>11.6</v>
      </c>
      <c r="O220" s="269">
        <v>12.5</v>
      </c>
      <c r="P220" s="269">
        <v>12.6</v>
      </c>
      <c r="Q220" s="251">
        <v>15.7</v>
      </c>
      <c r="R220" s="251">
        <v>18.8</v>
      </c>
      <c r="S220" s="251">
        <v>17.7</v>
      </c>
      <c r="T220" s="245">
        <v>12.4</v>
      </c>
      <c r="U220" s="262">
        <v>1</v>
      </c>
      <c r="V220" s="256"/>
      <c r="W220" s="251">
        <v>1.5</v>
      </c>
      <c r="X220" s="262">
        <v>6</v>
      </c>
      <c r="Y220" s="262">
        <v>8</v>
      </c>
      <c r="Z220" s="263" t="s">
        <v>82</v>
      </c>
      <c r="AA220" s="264">
        <v>15</v>
      </c>
      <c r="AB220" s="259">
        <f>AA220-(AA220*[1]Constants!$B$30)</f>
        <v>10.5</v>
      </c>
    </row>
    <row r="221" spans="1:28" ht="14.5">
      <c r="A221" s="394">
        <f t="shared" si="9"/>
        <v>45144</v>
      </c>
      <c r="B221" s="261">
        <v>68</v>
      </c>
      <c r="C221" s="268">
        <v>29.891999999999999</v>
      </c>
      <c r="D221" s="245">
        <f>C221*[1]Constants!$B$19</f>
        <v>1012.2626879999999</v>
      </c>
      <c r="E221" s="245" t="s">
        <v>103</v>
      </c>
      <c r="F221" s="259">
        <f>100*((([1]Constants!$B$25*EXP(([1]Constants!$B$24*J221)/(J221+[1]Constants!$B$23)))-0.8*(H221-J221))/([1]Constants!$B$25*EXP(([1]Constants!$B$24*H221)/(H221+[1]Constants!$B$23))))</f>
        <v>75.322481633470346</v>
      </c>
      <c r="G221" s="247">
        <f>([1]Constants!$B$23*LN((([1]Constants!$B$25*EXP(([1]Constants!$B$24*J221)/(J221+[1]Constants!$B$23)))-0.8*(H221-J221))/[1]Constants!$B$25))/([1]Constants!$B$24-LN((([1]Constants!$B$25*EXP(([1]Constants!$B$24*J221)/(J221+[1]Constants!$B$23)))-0.8*(H221-J221))/[1]Constants!$B$25))</f>
        <v>10.672466787755043</v>
      </c>
      <c r="H221" s="261">
        <v>15</v>
      </c>
      <c r="I221" s="251">
        <v>15.2</v>
      </c>
      <c r="J221" s="251">
        <v>12.7</v>
      </c>
      <c r="K221" s="251">
        <v>19.2</v>
      </c>
      <c r="L221" s="251" t="s">
        <v>103</v>
      </c>
      <c r="M221" s="43">
        <f t="shared" si="8"/>
        <v>14.55</v>
      </c>
      <c r="N221" s="251">
        <v>9.9</v>
      </c>
      <c r="O221" s="251">
        <v>10</v>
      </c>
      <c r="P221" s="251">
        <v>9.5</v>
      </c>
      <c r="Q221" s="251">
        <v>15</v>
      </c>
      <c r="R221" s="251">
        <v>18</v>
      </c>
      <c r="S221" s="251">
        <v>17.7</v>
      </c>
      <c r="T221" s="245">
        <v>0.9</v>
      </c>
      <c r="U221" s="262">
        <v>1</v>
      </c>
      <c r="V221" s="270"/>
      <c r="W221" s="251">
        <v>9</v>
      </c>
      <c r="X221" s="262">
        <v>8</v>
      </c>
      <c r="Y221" s="262">
        <v>7</v>
      </c>
      <c r="Z221" s="263" t="s">
        <v>82</v>
      </c>
      <c r="AA221" s="264">
        <v>10</v>
      </c>
      <c r="AB221" s="259">
        <f>AA221-(AA221*[1]Constants!$B$30)</f>
        <v>7</v>
      </c>
    </row>
    <row r="222" spans="1:28" ht="14.5">
      <c r="A222" s="394">
        <f t="shared" si="9"/>
        <v>45145</v>
      </c>
      <c r="B222" s="261">
        <v>69.400000000000006</v>
      </c>
      <c r="C222" s="268">
        <v>29.988</v>
      </c>
      <c r="D222" s="245">
        <f>C222*[1]Constants!$B$19</f>
        <v>1015.5136319999999</v>
      </c>
      <c r="E222" s="245" t="s">
        <v>103</v>
      </c>
      <c r="F222" s="259">
        <f>100*((([1]Constants!$B$25*EXP(([1]Constants!$B$24*J222)/(J222+[1]Constants!$B$23)))-0.8*(H222-J222))/([1]Constants!$B$25*EXP(([1]Constants!$B$24*H222)/(H222+[1]Constants!$B$23))))</f>
        <v>63.397438932150429</v>
      </c>
      <c r="G222" s="247">
        <f>([1]Constants!$B$23*LN((([1]Constants!$B$25*EXP(([1]Constants!$B$24*J222)/(J222+[1]Constants!$B$23)))-0.8*(H222-J222))/[1]Constants!$B$25))/([1]Constants!$B$24-LN((([1]Constants!$B$25*EXP(([1]Constants!$B$24*J222)/(J222+[1]Constants!$B$23)))-0.8*(H222-J222))/[1]Constants!$B$25))</f>
        <v>11.141365182772379</v>
      </c>
      <c r="H222" s="261">
        <v>18.2</v>
      </c>
      <c r="I222" s="251">
        <v>18.2</v>
      </c>
      <c r="J222" s="251">
        <v>14.34</v>
      </c>
      <c r="K222" s="251">
        <v>20.9</v>
      </c>
      <c r="L222" s="251" t="s">
        <v>103</v>
      </c>
      <c r="M222" s="43">
        <f t="shared" si="8"/>
        <v>15.35</v>
      </c>
      <c r="N222" s="245">
        <v>9.8000000000000007</v>
      </c>
      <c r="O222" s="251">
        <v>10.3</v>
      </c>
      <c r="P222" s="251">
        <v>9.5</v>
      </c>
      <c r="Q222" s="251">
        <v>16.100000000000001</v>
      </c>
      <c r="R222" s="251">
        <v>18</v>
      </c>
      <c r="S222" s="251">
        <v>17.7</v>
      </c>
      <c r="T222" s="245">
        <v>0.2</v>
      </c>
      <c r="U222" s="262">
        <v>1</v>
      </c>
      <c r="V222" s="271"/>
      <c r="W222" s="251">
        <v>12</v>
      </c>
      <c r="X222" s="272">
        <v>8</v>
      </c>
      <c r="Y222" s="272">
        <v>5</v>
      </c>
      <c r="Z222" s="263" t="s">
        <v>82</v>
      </c>
      <c r="AA222" s="264">
        <v>9</v>
      </c>
      <c r="AB222" s="259">
        <f>AA222-(AA222*[1]Constants!$B$30)</f>
        <v>6.3000000000000007</v>
      </c>
    </row>
    <row r="223" spans="1:28" ht="14.5">
      <c r="A223" s="394">
        <f t="shared" si="9"/>
        <v>45146</v>
      </c>
      <c r="B223" s="261">
        <v>68.3</v>
      </c>
      <c r="C223" s="268">
        <v>29.844000000000001</v>
      </c>
      <c r="D223" s="245">
        <f>C223*[1]Constants!$B$19</f>
        <v>1010.637216</v>
      </c>
      <c r="E223" s="245" t="s">
        <v>103</v>
      </c>
      <c r="F223" s="259">
        <f>100*((([1]Constants!$B$25*EXP(([1]Constants!$B$24*J223)/(J223+[1]Constants!$B$23)))-0.8*(H223-J223))/([1]Constants!$B$25*EXP(([1]Constants!$B$24*H223)/(H223+[1]Constants!$B$23))))</f>
        <v>88.722245749459418</v>
      </c>
      <c r="G223" s="247">
        <f>([1]Constants!$B$23*LN((([1]Constants!$B$25*EXP(([1]Constants!$B$24*J223)/(J223+[1]Constants!$B$23)))-0.8*(H223-J223))/[1]Constants!$B$25))/([1]Constants!$B$24-LN((([1]Constants!$B$25*EXP(([1]Constants!$B$24*J223)/(J223+[1]Constants!$B$23)))-0.8*(H223-J223))/[1]Constants!$B$25))</f>
        <v>12.267671704730143</v>
      </c>
      <c r="H223" s="261">
        <v>14.1</v>
      </c>
      <c r="I223" s="251">
        <v>14.1</v>
      </c>
      <c r="J223" s="251">
        <v>13.1</v>
      </c>
      <c r="K223" s="251">
        <v>18.7</v>
      </c>
      <c r="L223" s="251" t="s">
        <v>103</v>
      </c>
      <c r="M223" s="43">
        <f t="shared" si="8"/>
        <v>14.899999999999999</v>
      </c>
      <c r="N223" s="251">
        <v>11.1</v>
      </c>
      <c r="O223" s="251">
        <v>12.2</v>
      </c>
      <c r="P223" s="251">
        <v>11.3</v>
      </c>
      <c r="Q223" s="251">
        <v>15.8</v>
      </c>
      <c r="R223" s="251">
        <v>18.100000000000001</v>
      </c>
      <c r="S223" s="251">
        <v>17.5</v>
      </c>
      <c r="T223" s="251">
        <v>4.8</v>
      </c>
      <c r="U223" s="262">
        <v>1</v>
      </c>
      <c r="V223" s="245"/>
      <c r="W223" s="245">
        <v>0</v>
      </c>
      <c r="X223" s="262">
        <v>7</v>
      </c>
      <c r="Y223" s="262">
        <v>8</v>
      </c>
      <c r="Z223" s="263" t="s">
        <v>82</v>
      </c>
      <c r="AA223" s="264">
        <v>5</v>
      </c>
      <c r="AB223" s="259">
        <f>AA223-(AA223*[1]Constants!$B$30)</f>
        <v>3.5</v>
      </c>
    </row>
    <row r="224" spans="1:28" ht="14.5">
      <c r="A224" s="394">
        <f t="shared" si="9"/>
        <v>45147</v>
      </c>
      <c r="B224" s="261">
        <v>68.8</v>
      </c>
      <c r="C224" s="268">
        <v>29.92</v>
      </c>
      <c r="D224" s="245">
        <f>C224*[1]Constants!$B$19</f>
        <v>1013.21088</v>
      </c>
      <c r="E224" s="245" t="s">
        <v>103</v>
      </c>
      <c r="F224" s="259">
        <f>100*((([1]Constants!$B$25*EXP(([1]Constants!$B$24*J224)/(J224+[1]Constants!$B$23)))-0.8*(H224-J224))/([1]Constants!$B$25*EXP(([1]Constants!$B$24*H224)/(H224+[1]Constants!$B$23))))</f>
        <v>64.35045077370998</v>
      </c>
      <c r="G224" s="247">
        <f>([1]Constants!$B$23*LN((([1]Constants!$B$25*EXP(([1]Constants!$B$24*J224)/(J224+[1]Constants!$B$23)))-0.8*(H224-J224))/[1]Constants!$B$25))/([1]Constants!$B$24-LN((([1]Constants!$B$25*EXP(([1]Constants!$B$24*J224)/(J224+[1]Constants!$B$23)))-0.8*(H224-J224))/[1]Constants!$B$25))</f>
        <v>11.745787972926568</v>
      </c>
      <c r="H224" s="261">
        <v>18.600000000000001</v>
      </c>
      <c r="I224" s="251">
        <v>18.7</v>
      </c>
      <c r="J224" s="251">
        <v>14.8</v>
      </c>
      <c r="K224" s="251">
        <v>25</v>
      </c>
      <c r="L224" s="251" t="s">
        <v>103</v>
      </c>
      <c r="M224" s="43">
        <f t="shared" si="8"/>
        <v>18.25</v>
      </c>
      <c r="N224" s="251">
        <v>11.5</v>
      </c>
      <c r="O224" s="251">
        <v>11.3</v>
      </c>
      <c r="P224" s="251">
        <v>11.1</v>
      </c>
      <c r="Q224" s="251">
        <v>16</v>
      </c>
      <c r="R224" s="251">
        <v>17.899999999999999</v>
      </c>
      <c r="S224" s="251">
        <v>17.5</v>
      </c>
      <c r="T224" s="245" t="s">
        <v>91</v>
      </c>
      <c r="U224" s="273">
        <v>1</v>
      </c>
      <c r="V224" s="274"/>
      <c r="W224" s="251">
        <v>10.4</v>
      </c>
      <c r="X224" s="262">
        <v>8</v>
      </c>
      <c r="Y224" s="262">
        <v>1</v>
      </c>
      <c r="Z224" s="263" t="s">
        <v>82</v>
      </c>
      <c r="AA224" s="264">
        <v>5</v>
      </c>
      <c r="AB224" s="259">
        <f>AA224-(AA224*[1]Constants!$B$30)</f>
        <v>3.5</v>
      </c>
    </row>
    <row r="225" spans="1:28" ht="14.5">
      <c r="A225" s="394">
        <f t="shared" si="9"/>
        <v>45148</v>
      </c>
      <c r="B225" s="261">
        <v>70.7</v>
      </c>
      <c r="C225" s="268">
        <v>29.957999999999998</v>
      </c>
      <c r="D225" s="245">
        <f>C225*[1]Constants!$B$19</f>
        <v>1014.4977119999999</v>
      </c>
      <c r="E225" s="245" t="s">
        <v>103</v>
      </c>
      <c r="F225" s="259">
        <f>100*((([1]Constants!$B$25*EXP(([1]Constants!$B$24*J225)/(J225+[1]Constants!$B$23)))-0.8*(H225-J225))/([1]Constants!$B$25*EXP(([1]Constants!$B$24*H225)/(H225+[1]Constants!$B$23))))</f>
        <v>65.563148200329508</v>
      </c>
      <c r="G225" s="247">
        <f>([1]Constants!$B$23*LN((([1]Constants!$B$25*EXP(([1]Constants!$B$24*J225)/(J225+[1]Constants!$B$23)))-0.8*(H225-J225))/[1]Constants!$B$25))/([1]Constants!$B$24-LN((([1]Constants!$B$25*EXP(([1]Constants!$B$24*J225)/(J225+[1]Constants!$B$23)))-0.8*(H225-J225))/[1]Constants!$B$25))</f>
        <v>14.024418467656194</v>
      </c>
      <c r="H225" s="261">
        <v>20.7</v>
      </c>
      <c r="I225" s="251">
        <v>21</v>
      </c>
      <c r="J225" s="251">
        <v>16.8</v>
      </c>
      <c r="K225" s="251">
        <v>25.9</v>
      </c>
      <c r="L225" s="251" t="s">
        <v>103</v>
      </c>
      <c r="M225" s="43">
        <f t="shared" si="8"/>
        <v>20.299999999999997</v>
      </c>
      <c r="N225" s="251">
        <v>14.7</v>
      </c>
      <c r="O225" s="251">
        <v>13.9</v>
      </c>
      <c r="P225" s="251">
        <v>14.3</v>
      </c>
      <c r="Q225" s="251">
        <v>18.399999999999999</v>
      </c>
      <c r="R225" s="251">
        <v>18.8</v>
      </c>
      <c r="S225" s="251">
        <v>17.5</v>
      </c>
      <c r="T225" s="251">
        <v>0</v>
      </c>
      <c r="U225" s="262">
        <v>1</v>
      </c>
      <c r="V225" s="275"/>
      <c r="W225" s="245">
        <v>9.5</v>
      </c>
      <c r="X225" s="262">
        <v>8</v>
      </c>
      <c r="Y225" s="262">
        <v>0</v>
      </c>
      <c r="Z225" s="263" t="s">
        <v>82</v>
      </c>
      <c r="AA225" s="264">
        <v>12</v>
      </c>
      <c r="AB225" s="259">
        <f>AA225-(AA225*[1]Constants!$B$30)</f>
        <v>8.4</v>
      </c>
    </row>
    <row r="226" spans="1:28" ht="14.5">
      <c r="A226" s="394">
        <f t="shared" si="9"/>
        <v>45149</v>
      </c>
      <c r="B226" s="261">
        <v>72.5</v>
      </c>
      <c r="C226" s="265">
        <v>29.934000000000001</v>
      </c>
      <c r="D226" s="245">
        <f>C226*[1]Constants!$B$19</f>
        <v>1013.684976</v>
      </c>
      <c r="E226" s="245" t="s">
        <v>103</v>
      </c>
      <c r="F226" s="259">
        <f>100*((([1]Constants!$B$25*EXP(([1]Constants!$B$24*J226)/(J226+[1]Constants!$B$23)))-0.8*(H226-J226))/([1]Constants!$B$25*EXP(([1]Constants!$B$24*H226)/(H226+[1]Constants!$B$23))))</f>
        <v>71.938250432845024</v>
      </c>
      <c r="G226" s="247">
        <f>([1]Constants!$B$23*LN((([1]Constants!$B$25*EXP(([1]Constants!$B$24*J226)/(J226+[1]Constants!$B$23)))-0.8*(H226-J226))/[1]Constants!$B$25))/([1]Constants!$B$24-LN((([1]Constants!$B$25*EXP(([1]Constants!$B$24*J226)/(J226+[1]Constants!$B$23)))-0.8*(H226-J226))/[1]Constants!$B$25))</f>
        <v>16.135179592030763</v>
      </c>
      <c r="H226" s="261">
        <v>21.4</v>
      </c>
      <c r="I226" s="251">
        <v>21.4</v>
      </c>
      <c r="J226" s="251">
        <v>18.2</v>
      </c>
      <c r="K226" s="251">
        <v>25.5</v>
      </c>
      <c r="L226" s="251" t="s">
        <v>103</v>
      </c>
      <c r="M226" s="43">
        <f t="shared" si="8"/>
        <v>21.65</v>
      </c>
      <c r="N226" s="251">
        <v>17.8</v>
      </c>
      <c r="O226" s="269">
        <v>18.399999999999999</v>
      </c>
      <c r="P226" s="269">
        <v>17.899999999999999</v>
      </c>
      <c r="Q226" s="276">
        <v>19.399999999999999</v>
      </c>
      <c r="R226" s="251">
        <v>19.600000000000001</v>
      </c>
      <c r="S226" s="251">
        <v>17.5</v>
      </c>
      <c r="T226" s="251">
        <v>0</v>
      </c>
      <c r="U226" s="262">
        <v>1</v>
      </c>
      <c r="V226" s="274"/>
      <c r="W226" s="251">
        <v>8.5</v>
      </c>
      <c r="X226" s="262">
        <v>8</v>
      </c>
      <c r="Y226" s="262">
        <v>6</v>
      </c>
      <c r="Z226" s="263" t="s">
        <v>82</v>
      </c>
      <c r="AA226" s="264">
        <v>10</v>
      </c>
      <c r="AB226" s="259">
        <f>AA226-(AA226*[1]Constants!$B$30)</f>
        <v>7</v>
      </c>
    </row>
    <row r="227" spans="1:28" ht="14.5">
      <c r="A227" s="394">
        <f t="shared" si="9"/>
        <v>45150</v>
      </c>
      <c r="B227" s="261">
        <v>70.900000000000006</v>
      </c>
      <c r="C227" s="265">
        <v>29.808</v>
      </c>
      <c r="D227" s="245">
        <f>C227*[1]Constants!$B$19</f>
        <v>1009.418112</v>
      </c>
      <c r="E227" s="245" t="s">
        <v>103</v>
      </c>
      <c r="F227" s="259">
        <f>100*((([1]Constants!$B$25*EXP(([1]Constants!$B$24*J227)/(J227+[1]Constants!$B$23)))-0.8*(H227-J227))/([1]Constants!$B$25*EXP(([1]Constants!$B$24*H227)/(H227+[1]Constants!$B$23))))</f>
        <v>71.484042950271657</v>
      </c>
      <c r="G227" s="247">
        <f>([1]Constants!$B$23*LN((([1]Constants!$B$25*EXP(([1]Constants!$B$24*J227)/(J227+[1]Constants!$B$23)))-0.8*(H227-J227))/[1]Constants!$B$25))/([1]Constants!$B$24-LN((([1]Constants!$B$25*EXP(([1]Constants!$B$24*J227)/(J227+[1]Constants!$B$23)))-0.8*(H227-J227))/[1]Constants!$B$25))</f>
        <v>13.347655586886995</v>
      </c>
      <c r="H227" s="261">
        <v>18.600000000000001</v>
      </c>
      <c r="I227" s="251">
        <v>18.7</v>
      </c>
      <c r="J227" s="251">
        <v>15.6</v>
      </c>
      <c r="K227" s="251">
        <v>21</v>
      </c>
      <c r="L227" s="251" t="s">
        <v>103</v>
      </c>
      <c r="M227" s="43">
        <f t="shared" si="8"/>
        <v>17.25</v>
      </c>
      <c r="N227" s="251">
        <v>13.5</v>
      </c>
      <c r="O227" s="269">
        <v>14.9</v>
      </c>
      <c r="P227" s="269">
        <v>13.5</v>
      </c>
      <c r="Q227" s="251">
        <v>17.899999999999999</v>
      </c>
      <c r="R227" s="251">
        <v>19.8</v>
      </c>
      <c r="S227" s="251">
        <v>17.600000000000001</v>
      </c>
      <c r="T227" s="251">
        <v>4.5</v>
      </c>
      <c r="U227" s="262">
        <v>1</v>
      </c>
      <c r="V227" s="251"/>
      <c r="W227" s="251">
        <v>3.8</v>
      </c>
      <c r="X227" s="262">
        <v>8</v>
      </c>
      <c r="Y227" s="262">
        <v>8</v>
      </c>
      <c r="Z227" s="263" t="s">
        <v>87</v>
      </c>
      <c r="AA227" s="264">
        <v>15</v>
      </c>
      <c r="AB227" s="259">
        <f>AA227-(AA227*[1]Constants!$B$30)</f>
        <v>10.5</v>
      </c>
    </row>
    <row r="228" spans="1:28" ht="14.5">
      <c r="A228" s="394">
        <f t="shared" si="9"/>
        <v>45151</v>
      </c>
      <c r="B228" s="261">
        <v>70.5</v>
      </c>
      <c r="C228" s="265">
        <v>29.808</v>
      </c>
      <c r="D228" s="245">
        <f>C228*[1]Constants!$B$19</f>
        <v>1009.418112</v>
      </c>
      <c r="E228" s="245" t="s">
        <v>103</v>
      </c>
      <c r="F228" s="259">
        <f>100*((([1]Constants!$B$25*EXP(([1]Constants!$B$24*J228)/(J228+[1]Constants!$B$23)))-0.8*(H228-J228))/([1]Constants!$B$25*EXP(([1]Constants!$B$24*H228)/(H228+[1]Constants!$B$23))))</f>
        <v>72.148098935306081</v>
      </c>
      <c r="G228" s="247">
        <f>([1]Constants!$B$23*LN((([1]Constants!$B$25*EXP(([1]Constants!$B$24*J228)/(J228+[1]Constants!$B$23)))-0.8*(H228-J228))/[1]Constants!$B$25))/([1]Constants!$B$24-LN((([1]Constants!$B$25*EXP(([1]Constants!$B$24*J228)/(J228+[1]Constants!$B$23)))-0.8*(H228-J228))/[1]Constants!$B$25))</f>
        <v>13.201088059213211</v>
      </c>
      <c r="H228" s="261">
        <v>18.3</v>
      </c>
      <c r="I228" s="251">
        <v>18.3</v>
      </c>
      <c r="J228" s="251">
        <v>15.4</v>
      </c>
      <c r="K228" s="251">
        <v>21.6</v>
      </c>
      <c r="L228" s="251" t="s">
        <v>103</v>
      </c>
      <c r="M228" s="43">
        <f t="shared" si="8"/>
        <v>18.450000000000003</v>
      </c>
      <c r="N228" s="251">
        <v>15.3</v>
      </c>
      <c r="O228" s="269">
        <v>16</v>
      </c>
      <c r="P228" s="269" t="s">
        <v>103</v>
      </c>
      <c r="Q228" s="251">
        <v>17.899999999999999</v>
      </c>
      <c r="R228" s="251">
        <v>19.600000000000001</v>
      </c>
      <c r="S228" s="251">
        <v>17.8</v>
      </c>
      <c r="T228" s="251">
        <v>7.7</v>
      </c>
      <c r="U228" s="262">
        <v>1</v>
      </c>
      <c r="V228" s="256"/>
      <c r="W228" s="251">
        <v>3.4</v>
      </c>
      <c r="X228" s="262">
        <v>8</v>
      </c>
      <c r="Y228" s="262">
        <v>7</v>
      </c>
      <c r="Z228" s="263" t="s">
        <v>87</v>
      </c>
      <c r="AA228" s="264">
        <v>19</v>
      </c>
      <c r="AB228" s="259">
        <f>AA228-(AA228*[1]Constants!$B$30)</f>
        <v>13.3</v>
      </c>
    </row>
    <row r="229" spans="1:28" ht="14.5">
      <c r="A229" s="394">
        <f t="shared" si="9"/>
        <v>45152</v>
      </c>
      <c r="B229" s="261">
        <v>70.2</v>
      </c>
      <c r="C229" s="265">
        <v>29.684000000000001</v>
      </c>
      <c r="D229" s="245">
        <f>C229*[1]Constants!$B$19</f>
        <v>1005.218976</v>
      </c>
      <c r="E229" s="245" t="s">
        <v>103</v>
      </c>
      <c r="F229" s="259">
        <f>100*((([1]Constants!$B$25*EXP(([1]Constants!$B$24*J229)/(J229+[1]Constants!$B$23)))-0.8*(H229-J229))/([1]Constants!$B$25*EXP(([1]Constants!$B$24*H229)/(H229+[1]Constants!$B$23))))</f>
        <v>90.8796671475192</v>
      </c>
      <c r="G229" s="247">
        <f>([1]Constants!$B$23*LN((([1]Constants!$B$25*EXP(([1]Constants!$B$24*J229)/(J229+[1]Constants!$B$23)))-0.8*(H229-J229))/[1]Constants!$B$25))/([1]Constants!$B$24-LN((([1]Constants!$B$25*EXP(([1]Constants!$B$24*J229)/(J229+[1]Constants!$B$23)))-0.8*(H229-J229))/[1]Constants!$B$25))</f>
        <v>16.093472849347425</v>
      </c>
      <c r="H229" s="261">
        <v>17.600000000000001</v>
      </c>
      <c r="I229" s="251">
        <v>17.399999999999999</v>
      </c>
      <c r="J229" s="251">
        <v>16.7</v>
      </c>
      <c r="K229" s="251">
        <v>21.9</v>
      </c>
      <c r="L229" s="251" t="s">
        <v>103</v>
      </c>
      <c r="M229" s="43">
        <f t="shared" si="8"/>
        <v>18.399999999999999</v>
      </c>
      <c r="N229" s="251">
        <v>14.9</v>
      </c>
      <c r="O229" s="269">
        <v>15.4</v>
      </c>
      <c r="P229" s="269">
        <v>14.5</v>
      </c>
      <c r="Q229" s="251">
        <v>17.7</v>
      </c>
      <c r="R229" s="251">
        <v>19.5</v>
      </c>
      <c r="S229" s="251">
        <v>17.899999999999999</v>
      </c>
      <c r="T229" s="251" t="s">
        <v>91</v>
      </c>
      <c r="U229" s="262">
        <v>1</v>
      </c>
      <c r="V229" s="256"/>
      <c r="W229" s="251">
        <v>3.9</v>
      </c>
      <c r="X229" s="262">
        <v>8</v>
      </c>
      <c r="Y229" s="262">
        <v>8</v>
      </c>
      <c r="Z229" s="263" t="s">
        <v>82</v>
      </c>
      <c r="AA229" s="264">
        <v>12</v>
      </c>
      <c r="AB229" s="259">
        <f>AA229-(AA229*[1]Constants!$B$30)</f>
        <v>8.4</v>
      </c>
    </row>
    <row r="230" spans="1:28" ht="14.5">
      <c r="A230" s="394">
        <f t="shared" si="9"/>
        <v>45153</v>
      </c>
      <c r="B230" s="279">
        <v>69.8</v>
      </c>
      <c r="C230" s="278">
        <v>29.878</v>
      </c>
      <c r="D230" s="245">
        <f>C230*[1]Constants!$B$19</f>
        <v>1011.7885919999999</v>
      </c>
      <c r="E230" s="245" t="s">
        <v>103</v>
      </c>
      <c r="F230" s="259">
        <f>100*((([1]Constants!$B$25*EXP(([1]Constants!$B$24*J230)/(J230+[1]Constants!$B$23)))-0.8*(H230-J230))/([1]Constants!$B$25*EXP(([1]Constants!$B$24*H230)/(H230+[1]Constants!$B$23))))</f>
        <v>77.560431410809116</v>
      </c>
      <c r="G230" s="247">
        <f>([1]Constants!$B$23*LN((([1]Constants!$B$25*EXP(([1]Constants!$B$24*J230)/(J230+[1]Constants!$B$23)))-0.8*(H230-J230))/[1]Constants!$B$25))/([1]Constants!$B$24-LN((([1]Constants!$B$25*EXP(([1]Constants!$B$24*J230)/(J230+[1]Constants!$B$23)))-0.8*(H230-J230))/[1]Constants!$B$25))</f>
        <v>14.11977203787918</v>
      </c>
      <c r="H230" s="279">
        <v>18.100000000000001</v>
      </c>
      <c r="I230" s="277">
        <v>17.7</v>
      </c>
      <c r="J230" s="277">
        <v>15.8</v>
      </c>
      <c r="K230" s="277">
        <v>23.4</v>
      </c>
      <c r="L230" s="251" t="s">
        <v>103</v>
      </c>
      <c r="M230" s="43">
        <f t="shared" si="8"/>
        <v>17.600000000000001</v>
      </c>
      <c r="N230" s="277">
        <v>11.8</v>
      </c>
      <c r="O230" s="246">
        <v>11.2</v>
      </c>
      <c r="P230" s="246">
        <v>11.2</v>
      </c>
      <c r="Q230" s="277">
        <v>16.399999999999999</v>
      </c>
      <c r="R230" s="277">
        <v>19.2</v>
      </c>
      <c r="S230" s="277">
        <v>17.899999999999999</v>
      </c>
      <c r="T230" s="277">
        <v>0</v>
      </c>
      <c r="U230" s="280">
        <v>1</v>
      </c>
      <c r="V230" s="281"/>
      <c r="W230" s="277">
        <v>7.5</v>
      </c>
      <c r="X230" s="280">
        <v>8</v>
      </c>
      <c r="Y230" s="280">
        <v>3</v>
      </c>
      <c r="Z230" s="282" t="s">
        <v>89</v>
      </c>
      <c r="AA230" s="283">
        <v>6</v>
      </c>
      <c r="AB230" s="259">
        <f>AA230-(AA230*[1]Constants!$B$30)</f>
        <v>4.2</v>
      </c>
    </row>
    <row r="231" spans="1:28" ht="14.5">
      <c r="A231" s="394">
        <f t="shared" si="9"/>
        <v>45154</v>
      </c>
      <c r="B231" s="279">
        <v>70</v>
      </c>
      <c r="C231" s="265">
        <v>30.018000000000001</v>
      </c>
      <c r="D231" s="245">
        <f>C231*[1]Constants!$B$19</f>
        <v>1016.529552</v>
      </c>
      <c r="E231" s="245" t="s">
        <v>103</v>
      </c>
      <c r="F231" s="259">
        <f>100*((([1]Constants!$B$25*EXP(([1]Constants!$B$24*J231)/(J231+[1]Constants!$B$23)))-0.8*(H231-J231))/([1]Constants!$B$25*EXP(([1]Constants!$B$24*H231)/(H231+[1]Constants!$B$23))))</f>
        <v>64.154493387584523</v>
      </c>
      <c r="G231" s="247">
        <f>([1]Constants!$B$23*LN((([1]Constants!$B$25*EXP(([1]Constants!$B$24*J231)/(J231+[1]Constants!$B$23)))-0.8*(H231-J231))/[1]Constants!$B$25))/([1]Constants!$B$24-LN((([1]Constants!$B$25*EXP(([1]Constants!$B$24*J231)/(J231+[1]Constants!$B$23)))-0.8*(H231-J231))/[1]Constants!$B$25))</f>
        <v>13.121459919354296</v>
      </c>
      <c r="H231" s="261">
        <v>20.100000000000001</v>
      </c>
      <c r="I231" s="251">
        <v>20.2</v>
      </c>
      <c r="J231" s="251">
        <v>16.100000000000001</v>
      </c>
      <c r="K231" s="277">
        <v>24.8</v>
      </c>
      <c r="L231" s="251" t="s">
        <v>103</v>
      </c>
      <c r="M231" s="43">
        <f t="shared" si="8"/>
        <v>17.95</v>
      </c>
      <c r="N231" s="251">
        <v>11.1</v>
      </c>
      <c r="O231" s="251">
        <v>10.7</v>
      </c>
      <c r="P231" s="251">
        <v>11.1</v>
      </c>
      <c r="Q231" s="251">
        <v>17.100000000000001</v>
      </c>
      <c r="R231" s="251">
        <v>19.100000000000001</v>
      </c>
      <c r="S231" s="251">
        <v>17.899999999999999</v>
      </c>
      <c r="T231" s="277">
        <v>0</v>
      </c>
      <c r="U231" s="262">
        <v>1</v>
      </c>
      <c r="V231" s="256"/>
      <c r="W231" s="277">
        <v>11</v>
      </c>
      <c r="X231" s="262">
        <v>8</v>
      </c>
      <c r="Y231" s="262">
        <v>2</v>
      </c>
      <c r="Z231" s="263" t="s">
        <v>82</v>
      </c>
      <c r="AA231" s="251">
        <v>6</v>
      </c>
      <c r="AB231" s="259">
        <f>AA231-(AA231*[1]Constants!$B$30)</f>
        <v>4.2</v>
      </c>
    </row>
    <row r="232" spans="1:28" ht="14.5">
      <c r="A232" s="394">
        <f t="shared" si="9"/>
        <v>45155</v>
      </c>
      <c r="B232" s="279">
        <v>70.400000000000006</v>
      </c>
      <c r="C232" s="278">
        <v>29.995999999999999</v>
      </c>
      <c r="D232" s="245">
        <f>C232*[1]Constants!$B$19</f>
        <v>1015.7845439999999</v>
      </c>
      <c r="E232" s="245" t="s">
        <v>103</v>
      </c>
      <c r="F232" s="259">
        <f>100*((([1]Constants!$B$25*EXP(([1]Constants!$B$24*J232)/(J232+[1]Constants!$B$23)))-0.8*(H232-J232))/([1]Constants!$B$25*EXP(([1]Constants!$B$24*H232)/(H232+[1]Constants!$B$23))))</f>
        <v>77.663042806295621</v>
      </c>
      <c r="G232" s="247">
        <f>([1]Constants!$B$23*LN((([1]Constants!$B$25*EXP(([1]Constants!$B$24*J232)/(J232+[1]Constants!$B$23)))-0.8*(H232-J232))/[1]Constants!$B$25))/([1]Constants!$B$24-LN((([1]Constants!$B$25*EXP(([1]Constants!$B$24*J232)/(J232+[1]Constants!$B$23)))-0.8*(H232-J232))/[1]Constants!$B$25))</f>
        <v>15.691951738639618</v>
      </c>
      <c r="H232" s="279">
        <v>19.7</v>
      </c>
      <c r="I232" s="277">
        <v>19.8</v>
      </c>
      <c r="J232" s="283">
        <v>17.3</v>
      </c>
      <c r="K232" s="251">
        <v>24.3</v>
      </c>
      <c r="L232" s="251" t="s">
        <v>103</v>
      </c>
      <c r="M232" s="43">
        <f t="shared" si="8"/>
        <v>18.75</v>
      </c>
      <c r="N232" s="279">
        <v>13.2</v>
      </c>
      <c r="O232" s="277">
        <v>11.2</v>
      </c>
      <c r="P232" s="277">
        <v>13.2</v>
      </c>
      <c r="Q232" s="251">
        <v>17.8</v>
      </c>
      <c r="R232" s="277">
        <v>19.5</v>
      </c>
      <c r="S232" s="283">
        <v>18</v>
      </c>
      <c r="T232" s="251">
        <v>7.8</v>
      </c>
      <c r="U232" s="284">
        <v>1</v>
      </c>
      <c r="V232" s="256"/>
      <c r="W232" s="251">
        <v>10.199999999999999</v>
      </c>
      <c r="X232" s="285">
        <v>8</v>
      </c>
      <c r="Y232" s="280">
        <v>2</v>
      </c>
      <c r="Z232" s="282" t="s">
        <v>82</v>
      </c>
      <c r="AA232" s="283">
        <v>18</v>
      </c>
      <c r="AB232" s="259">
        <f>AA232-(AA232*[1]Constants!$B$30)</f>
        <v>12.600000000000001</v>
      </c>
    </row>
    <row r="233" spans="1:28" ht="14.5">
      <c r="A233" s="394">
        <f t="shared" si="9"/>
        <v>45156</v>
      </c>
      <c r="B233" s="261">
        <v>70.7</v>
      </c>
      <c r="C233" s="265">
        <v>29.826000000000001</v>
      </c>
      <c r="D233" s="245">
        <f>C233*[1]Constants!$B$19</f>
        <v>1010.027664</v>
      </c>
      <c r="E233" s="245" t="s">
        <v>103</v>
      </c>
      <c r="F233" s="259">
        <f>100*((([1]Constants!$B$25*EXP(([1]Constants!$B$24*J233)/(J233+[1]Constants!$B$23)))-0.8*(H233-J233))/([1]Constants!$B$25*EXP(([1]Constants!$B$24*H233)/(H233+[1]Constants!$B$23))))</f>
        <v>97.937154109629049</v>
      </c>
      <c r="G233" s="247">
        <f>([1]Constants!$B$23*LN((([1]Constants!$B$25*EXP(([1]Constants!$B$24*J233)/(J233+[1]Constants!$B$23)))-0.8*(H233-J233))/[1]Constants!$B$25))/([1]Constants!$B$24-LN((([1]Constants!$B$25*EXP(([1]Constants!$B$24*J233)/(J233+[1]Constants!$B$23)))-0.8*(H233-J233))/[1]Constants!$B$25))</f>
        <v>17.070656381282227</v>
      </c>
      <c r="H233" s="279">
        <v>17.399999999999999</v>
      </c>
      <c r="I233" s="277">
        <v>17.5</v>
      </c>
      <c r="J233" s="277">
        <v>17.2</v>
      </c>
      <c r="K233" s="286">
        <v>23.8</v>
      </c>
      <c r="L233" s="286" t="s">
        <v>103</v>
      </c>
      <c r="M233" s="43">
        <f t="shared" si="8"/>
        <v>19.850000000000001</v>
      </c>
      <c r="N233" s="277">
        <v>15.9</v>
      </c>
      <c r="O233" s="277">
        <v>15.4</v>
      </c>
      <c r="P233" s="277">
        <v>16.600000000000001</v>
      </c>
      <c r="Q233" s="277">
        <v>18.8</v>
      </c>
      <c r="R233" s="277">
        <v>19.899999999999999</v>
      </c>
      <c r="S233" s="283">
        <v>18</v>
      </c>
      <c r="T233" s="251">
        <v>0.7</v>
      </c>
      <c r="U233" s="287">
        <v>1</v>
      </c>
      <c r="V233" s="288"/>
      <c r="W233" s="286">
        <v>2.5</v>
      </c>
      <c r="X233" s="280">
        <v>6</v>
      </c>
      <c r="Y233" s="280">
        <v>8</v>
      </c>
      <c r="Z233" s="282" t="s">
        <v>82</v>
      </c>
      <c r="AA233" s="277">
        <v>7</v>
      </c>
      <c r="AB233" s="289">
        <f>AA233-(AA233*[1]Constants!$B$30)</f>
        <v>4.9000000000000004</v>
      </c>
    </row>
    <row r="234" spans="1:28" ht="14.5">
      <c r="A234" s="394">
        <f t="shared" si="9"/>
        <v>45157</v>
      </c>
      <c r="B234" s="279">
        <v>71.400000000000006</v>
      </c>
      <c r="C234" s="278">
        <v>29.754000000000001</v>
      </c>
      <c r="D234" s="290">
        <f>C234*[1]Constants!$B$19</f>
        <v>1007.5894559999999</v>
      </c>
      <c r="E234" s="245" t="s">
        <v>103</v>
      </c>
      <c r="F234" s="259">
        <f>100*((([1]Constants!$B$25*EXP(([1]Constants!$B$24*J234)/(J234+[1]Constants!$B$23)))-0.8*(H234-J234))/([1]Constants!$B$25*EXP(([1]Constants!$B$24*H234)/(H234+[1]Constants!$B$23))))</f>
        <v>61.782650831331154</v>
      </c>
      <c r="G234" s="247">
        <f>([1]Constants!$B$23*LN((([1]Constants!$B$25*EXP(([1]Constants!$B$24*J234)/(J234+[1]Constants!$B$23)))-0.8*(H234-J234))/[1]Constants!$B$25))/([1]Constants!$B$24-LN((([1]Constants!$B$25*EXP(([1]Constants!$B$24*J234)/(J234+[1]Constants!$B$23)))-0.8*(H234-J234))/[1]Constants!$B$25))</f>
        <v>13.395241337830651</v>
      </c>
      <c r="H234" s="261">
        <v>21</v>
      </c>
      <c r="I234" s="251">
        <v>21.1</v>
      </c>
      <c r="J234" s="251">
        <v>16.600000000000001</v>
      </c>
      <c r="K234" s="245">
        <v>24</v>
      </c>
      <c r="L234" s="266" t="s">
        <v>103</v>
      </c>
      <c r="M234" s="43">
        <f t="shared" si="8"/>
        <v>20.350000000000001</v>
      </c>
      <c r="N234" s="251">
        <v>16.7</v>
      </c>
      <c r="O234" s="251">
        <v>15.4</v>
      </c>
      <c r="P234" s="251">
        <v>15.4</v>
      </c>
      <c r="Q234" s="251">
        <v>19.5</v>
      </c>
      <c r="R234" s="251">
        <v>20.2</v>
      </c>
      <c r="S234" s="251">
        <v>18.3</v>
      </c>
      <c r="T234" s="291">
        <v>0</v>
      </c>
      <c r="U234" s="262">
        <v>1</v>
      </c>
      <c r="V234" s="256"/>
      <c r="W234" s="251">
        <v>9.5</v>
      </c>
      <c r="X234" s="262">
        <v>8</v>
      </c>
      <c r="Y234" s="262">
        <v>4</v>
      </c>
      <c r="Z234" s="263" t="s">
        <v>82</v>
      </c>
      <c r="AA234" s="251">
        <v>18</v>
      </c>
      <c r="AB234" s="259">
        <f>AA234-(AA234*[1]Constants!$B$30)</f>
        <v>12.600000000000001</v>
      </c>
    </row>
    <row r="235" spans="1:28" ht="14.5">
      <c r="A235" s="394">
        <f t="shared" si="9"/>
        <v>45158</v>
      </c>
      <c r="B235" s="389">
        <v>71.099999999999994</v>
      </c>
      <c r="C235" s="292">
        <v>30.044</v>
      </c>
      <c r="D235" s="245">
        <f>C235*[1]Constants!$B$19</f>
        <v>1017.4100159999999</v>
      </c>
      <c r="E235" s="245" t="s">
        <v>103</v>
      </c>
      <c r="F235" s="259">
        <f>100*((([1]Constants!$B$25*EXP(([1]Constants!$B$24*J235)/(J235+[1]Constants!$B$23)))-0.8*(H235-J235))/([1]Constants!$B$25*EXP(([1]Constants!$B$24*H235)/(H235+[1]Constants!$B$23))))</f>
        <v>77.754885609026886</v>
      </c>
      <c r="G235" s="247">
        <f>([1]Constants!$B$23*LN((([1]Constants!$B$25*EXP(([1]Constants!$B$24*J235)/(J235+[1]Constants!$B$23)))-0.8*(H235-J235))/[1]Constants!$B$25))/([1]Constants!$B$24-LN((([1]Constants!$B$25*EXP(([1]Constants!$B$24*J235)/(J235+[1]Constants!$B$23)))-0.8*(H235-J235))/[1]Constants!$B$25))</f>
        <v>14.449424444975374</v>
      </c>
      <c r="H235" s="267">
        <v>18.399999999999999</v>
      </c>
      <c r="I235" s="266">
        <v>18.5</v>
      </c>
      <c r="J235" s="266">
        <v>16.100000000000001</v>
      </c>
      <c r="K235" s="251">
        <v>24.6</v>
      </c>
      <c r="L235" s="251" t="s">
        <v>103</v>
      </c>
      <c r="M235" s="43">
        <f t="shared" si="8"/>
        <v>19.399999999999999</v>
      </c>
      <c r="N235" s="266">
        <v>14.2</v>
      </c>
      <c r="O235" s="266">
        <v>11.6</v>
      </c>
      <c r="P235" s="245">
        <v>13</v>
      </c>
      <c r="Q235" s="245">
        <v>17.899999999999999</v>
      </c>
      <c r="R235" s="266">
        <v>20</v>
      </c>
      <c r="S235" s="245">
        <v>18.2</v>
      </c>
      <c r="T235" s="251">
        <v>0</v>
      </c>
      <c r="U235" s="272">
        <v>1</v>
      </c>
      <c r="V235" s="274"/>
      <c r="W235" s="251">
        <v>9.5</v>
      </c>
      <c r="X235" s="266">
        <v>8</v>
      </c>
      <c r="Y235" s="266">
        <v>7</v>
      </c>
      <c r="Z235" s="293" t="s">
        <v>82</v>
      </c>
      <c r="AA235" s="245">
        <v>10</v>
      </c>
      <c r="AB235" s="294">
        <f>AA235-(AA235*[1]Constants!$B$30)</f>
        <v>7</v>
      </c>
    </row>
    <row r="236" spans="1:28" ht="14.5">
      <c r="A236" s="394">
        <f t="shared" si="9"/>
        <v>45159</v>
      </c>
      <c r="B236" s="297">
        <v>71.2</v>
      </c>
      <c r="C236" s="295">
        <v>30.108000000000001</v>
      </c>
      <c r="D236" s="245">
        <f>C236*[1]Constants!$B$19</f>
        <v>1019.5773119999999</v>
      </c>
      <c r="E236" s="251" t="s">
        <v>103</v>
      </c>
      <c r="F236" s="296">
        <f>100*((([1]Constants!$B$25*EXP(([1]Constants!$B$24*J236)/(J236+[1]Constants!$B$23)))-0.8*(H236-J236))/([1]Constants!$B$25*EXP(([1]Constants!$B$24*H236)/(H236+[1]Constants!$B$23))))</f>
        <v>70.02906398282056</v>
      </c>
      <c r="G236" s="247">
        <f>([1]Constants!$B$23*LN((([1]Constants!$B$25*EXP(([1]Constants!$B$24*J236)/(J236+[1]Constants!$B$23)))-0.8*(H236-J236))/[1]Constants!$B$25))/([1]Constants!$B$24-LN((([1]Constants!$B$25*EXP(([1]Constants!$B$24*J236)/(J236+[1]Constants!$B$23)))-0.8*(H236-J236))/[1]Constants!$B$25))</f>
        <v>13.415919567109578</v>
      </c>
      <c r="H236" s="297">
        <v>19</v>
      </c>
      <c r="I236" s="252">
        <v>19</v>
      </c>
      <c r="J236" s="252">
        <v>15.8</v>
      </c>
      <c r="K236" s="251">
        <v>23.6</v>
      </c>
      <c r="L236" s="252" t="s">
        <v>103</v>
      </c>
      <c r="M236" s="43">
        <f t="shared" si="8"/>
        <v>19</v>
      </c>
      <c r="N236" s="252">
        <v>14.4</v>
      </c>
      <c r="O236" s="252">
        <v>12.9</v>
      </c>
      <c r="P236" s="252">
        <v>14.1</v>
      </c>
      <c r="Q236" s="298">
        <v>19</v>
      </c>
      <c r="R236" s="252">
        <v>20</v>
      </c>
      <c r="S236" s="252">
        <v>18.3</v>
      </c>
      <c r="T236" s="252">
        <v>0</v>
      </c>
      <c r="U236" s="299">
        <v>1</v>
      </c>
      <c r="V236" s="300"/>
      <c r="W236" s="298">
        <v>8.1999999999999993</v>
      </c>
      <c r="X236" s="301">
        <v>8</v>
      </c>
      <c r="Y236" s="301">
        <v>5</v>
      </c>
      <c r="Z236" s="302" t="s">
        <v>82</v>
      </c>
      <c r="AA236" s="303">
        <v>11</v>
      </c>
      <c r="AB236" s="304">
        <f>AA236-(AA236*[1]Constants!$B$30)</f>
        <v>7.7</v>
      </c>
    </row>
    <row r="237" spans="1:28" ht="14.5">
      <c r="A237" s="394">
        <f t="shared" si="9"/>
        <v>45160</v>
      </c>
      <c r="B237" s="261">
        <v>71.5</v>
      </c>
      <c r="C237" s="265">
        <v>30.018000000000001</v>
      </c>
      <c r="D237" s="245">
        <f>C237*[1]Constants!$B$19</f>
        <v>1016.529552</v>
      </c>
      <c r="E237" s="245" t="s">
        <v>103</v>
      </c>
      <c r="F237" s="259">
        <f>100*((([1]Constants!$B$25*EXP(([1]Constants!$B$24*J237)/(J237+[1]Constants!$B$23)))-0.8*(H237-J237))/([1]Constants!$B$25*EXP(([1]Constants!$B$24*H237)/(H237+[1]Constants!$B$23))))</f>
        <v>73.085858569929911</v>
      </c>
      <c r="G237" s="247">
        <f>([1]Constants!$B$23*LN((([1]Constants!$B$25*EXP(([1]Constants!$B$24*J237)/(J237+[1]Constants!$B$23)))-0.8*(H237-J237))/[1]Constants!$B$25))/([1]Constants!$B$24-LN((([1]Constants!$B$25*EXP(([1]Constants!$B$24*J237)/(J237+[1]Constants!$B$23)))-0.8*(H237-J237))/[1]Constants!$B$25))</f>
        <v>14.554411779270792</v>
      </c>
      <c r="H237" s="261">
        <v>19.5</v>
      </c>
      <c r="I237" s="251">
        <v>19.5</v>
      </c>
      <c r="J237" s="251">
        <v>16.600000000000001</v>
      </c>
      <c r="K237" s="305">
        <v>23.8</v>
      </c>
      <c r="L237" s="251" t="s">
        <v>103</v>
      </c>
      <c r="M237" s="43">
        <f t="shared" si="8"/>
        <v>19.25</v>
      </c>
      <c r="N237" s="251">
        <v>14.7</v>
      </c>
      <c r="O237" s="251">
        <v>13.9</v>
      </c>
      <c r="P237" s="251">
        <v>14.8</v>
      </c>
      <c r="Q237" s="251">
        <v>19.2</v>
      </c>
      <c r="R237" s="251">
        <v>20</v>
      </c>
      <c r="S237" s="251">
        <v>18.3</v>
      </c>
      <c r="T237" s="251">
        <v>0</v>
      </c>
      <c r="U237" s="272">
        <v>1</v>
      </c>
      <c r="V237" s="262"/>
      <c r="W237" s="245">
        <v>11.7</v>
      </c>
      <c r="X237" s="272">
        <v>8</v>
      </c>
      <c r="Y237" s="272">
        <v>5</v>
      </c>
      <c r="Z237" s="263" t="s">
        <v>87</v>
      </c>
      <c r="AA237" s="264">
        <v>11</v>
      </c>
      <c r="AB237" s="259">
        <f>AA237-(AA237*[1]Constants!$B$30)</f>
        <v>7.7</v>
      </c>
    </row>
    <row r="238" spans="1:28" ht="14.5">
      <c r="A238" s="394">
        <f t="shared" si="9"/>
        <v>45161</v>
      </c>
      <c r="B238" s="261">
        <v>71.2</v>
      </c>
      <c r="C238" s="265">
        <v>30.015999999999998</v>
      </c>
      <c r="D238" s="245">
        <f>C238*[1]Constants!$B$19</f>
        <v>1016.4618239999999</v>
      </c>
      <c r="E238" s="245" t="s">
        <v>103</v>
      </c>
      <c r="F238" s="259">
        <f>100*((([1]Constants!$B$25*EXP(([1]Constants!$B$24*J238)/(J238+[1]Constants!$B$23)))-0.8*(H238-J238))/([1]Constants!$B$25*EXP(([1]Constants!$B$24*H238)/(H238+[1]Constants!$B$23))))</f>
        <v>77.362349098741475</v>
      </c>
      <c r="G238" s="247">
        <f>([1]Constants!$B$23*LN((([1]Constants!$B$25*EXP(([1]Constants!$B$24*J238)/(J238+[1]Constants!$B$23)))-0.8*(H238-J238))/[1]Constants!$B$25))/([1]Constants!$B$24-LN((([1]Constants!$B$25*EXP(([1]Constants!$B$24*J238)/(J238+[1]Constants!$B$23)))-0.8*(H238-J238))/[1]Constants!$B$25))</f>
        <v>13.789477304566496</v>
      </c>
      <c r="H238" s="261">
        <v>17.8</v>
      </c>
      <c r="I238" s="251">
        <v>17.8</v>
      </c>
      <c r="J238" s="251">
        <v>15.5</v>
      </c>
      <c r="K238" s="251">
        <v>25.6</v>
      </c>
      <c r="L238" s="251" t="s">
        <v>103</v>
      </c>
      <c r="M238" s="43">
        <f t="shared" si="8"/>
        <v>19.5</v>
      </c>
      <c r="N238" s="251">
        <v>13.4</v>
      </c>
      <c r="O238" s="251">
        <v>13.5</v>
      </c>
      <c r="P238" s="251">
        <v>13.4</v>
      </c>
      <c r="Q238" s="251">
        <v>18.600000000000001</v>
      </c>
      <c r="R238" s="251">
        <v>20</v>
      </c>
      <c r="S238" s="251">
        <v>18.399999999999999</v>
      </c>
      <c r="T238" s="245">
        <v>0</v>
      </c>
      <c r="U238" s="272">
        <v>1</v>
      </c>
      <c r="V238" s="262"/>
      <c r="W238" s="251">
        <v>8.5</v>
      </c>
      <c r="X238" s="262">
        <v>8</v>
      </c>
      <c r="Y238" s="262">
        <v>8</v>
      </c>
      <c r="Z238" s="263" t="s">
        <v>82</v>
      </c>
      <c r="AA238" s="264">
        <v>5</v>
      </c>
      <c r="AB238" s="259">
        <f>AA238-(AA238*[1]Constants!$B$30)</f>
        <v>3.5</v>
      </c>
    </row>
    <row r="239" spans="1:28" ht="14.5">
      <c r="A239" s="394">
        <f t="shared" si="9"/>
        <v>45162</v>
      </c>
      <c r="B239" s="261">
        <v>72</v>
      </c>
      <c r="C239" s="265">
        <v>29.756</v>
      </c>
      <c r="D239" s="245">
        <f>C239*[1]Constants!$B$19</f>
        <v>1007.6571839999999</v>
      </c>
      <c r="E239" s="245" t="s">
        <v>103</v>
      </c>
      <c r="F239" s="259">
        <f>100*((([1]Constants!$B$25*EXP(([1]Constants!$B$24*J239)/(J239+[1]Constants!$B$23)))-0.8*(H239-J239))/([1]Constants!$B$25*EXP(([1]Constants!$B$24*H239)/(H239+[1]Constants!$B$23))))</f>
        <v>79.73496324713615</v>
      </c>
      <c r="G239" s="247">
        <f>([1]Constants!$B$23*LN((([1]Constants!$B$25*EXP(([1]Constants!$B$24*J239)/(J239+[1]Constants!$B$23)))-0.8*(H239-J239))/[1]Constants!$B$25))/([1]Constants!$B$24-LN((([1]Constants!$B$25*EXP(([1]Constants!$B$24*J239)/(J239+[1]Constants!$B$23)))-0.8*(H239-J239))/[1]Constants!$B$25))</f>
        <v>16.590111280905692</v>
      </c>
      <c r="H239" s="261">
        <v>20.2</v>
      </c>
      <c r="I239" s="251">
        <v>20.2</v>
      </c>
      <c r="J239" s="251">
        <v>18</v>
      </c>
      <c r="K239" s="251">
        <v>25.4</v>
      </c>
      <c r="L239" s="251" t="s">
        <v>103</v>
      </c>
      <c r="M239" s="43">
        <f t="shared" si="8"/>
        <v>20.399999999999999</v>
      </c>
      <c r="N239" s="251">
        <v>15.4</v>
      </c>
      <c r="O239" s="251">
        <v>14</v>
      </c>
      <c r="P239" s="251">
        <v>15.8</v>
      </c>
      <c r="Q239" s="251">
        <v>20</v>
      </c>
      <c r="R239" s="251">
        <v>20.2</v>
      </c>
      <c r="S239" s="251">
        <v>18.399999999999999</v>
      </c>
      <c r="T239" s="245">
        <v>0.1</v>
      </c>
      <c r="U239" s="272">
        <v>1</v>
      </c>
      <c r="V239" s="262"/>
      <c r="W239" s="251">
        <v>6.45</v>
      </c>
      <c r="X239" s="262">
        <v>8</v>
      </c>
      <c r="Y239" s="262">
        <v>4</v>
      </c>
      <c r="Z239" s="263" t="s">
        <v>82</v>
      </c>
      <c r="AA239" s="264">
        <v>0</v>
      </c>
      <c r="AB239" s="259">
        <f>AA239-(AA239*[1]Constants!$B$30)</f>
        <v>0</v>
      </c>
    </row>
    <row r="240" spans="1:28" ht="14.5">
      <c r="A240" s="394">
        <f t="shared" si="9"/>
        <v>45163</v>
      </c>
      <c r="B240" s="261">
        <v>71.8</v>
      </c>
      <c r="C240" s="265">
        <v>29.658000000000001</v>
      </c>
      <c r="D240" s="245">
        <f>C240*[1]Constants!$B$19</f>
        <v>1004.3385119999999</v>
      </c>
      <c r="E240" s="251" t="s">
        <v>103</v>
      </c>
      <c r="F240" s="259">
        <f>100*((([1]Constants!$B$25*EXP(([1]Constants!$B$24*J240)/(J240+[1]Constants!$B$23)))-0.8*(H240-J240))/([1]Constants!$B$25*EXP(([1]Constants!$B$24*H240)/(H240+[1]Constants!$B$23))))</f>
        <v>52.023324858307539</v>
      </c>
      <c r="G240" s="247">
        <f>([1]Constants!$B$23*LN((([1]Constants!$B$25*EXP(([1]Constants!$B$24*J240)/(J240+[1]Constants!$B$23)))-0.8*(H240-J240))/[1]Constants!$B$25))/([1]Constants!$B$24-LN((([1]Constants!$B$25*EXP(([1]Constants!$B$24*J240)/(J240+[1]Constants!$B$23)))-0.8*(H240-J240))/[1]Constants!$B$25))</f>
        <v>8.3809557268226289</v>
      </c>
      <c r="H240" s="261">
        <v>18.399999999999999</v>
      </c>
      <c r="I240" s="251">
        <v>18.399999999999999</v>
      </c>
      <c r="J240" s="251">
        <v>13.2</v>
      </c>
      <c r="K240" s="251">
        <v>20.714285714285701</v>
      </c>
      <c r="L240" s="251" t="s">
        <v>103</v>
      </c>
      <c r="M240" s="43">
        <f t="shared" si="8"/>
        <v>15.607142857142851</v>
      </c>
      <c r="N240" s="251">
        <v>10.5</v>
      </c>
      <c r="O240" s="251">
        <v>9.6999999999999993</v>
      </c>
      <c r="P240" s="251">
        <v>11.1</v>
      </c>
      <c r="Q240" s="251">
        <v>19.5</v>
      </c>
      <c r="R240" s="251">
        <v>20.5</v>
      </c>
      <c r="S240" s="251">
        <v>18.5</v>
      </c>
      <c r="T240" s="251">
        <v>2.5</v>
      </c>
      <c r="U240" s="272">
        <v>1</v>
      </c>
      <c r="V240" s="262"/>
      <c r="W240" s="245">
        <v>6.8</v>
      </c>
      <c r="X240" s="262">
        <v>8</v>
      </c>
      <c r="Y240" s="262">
        <v>4</v>
      </c>
      <c r="Z240" s="263" t="s">
        <v>82</v>
      </c>
      <c r="AA240" s="264">
        <v>7</v>
      </c>
      <c r="AB240" s="259">
        <f>AA240-(AA240*[1]Constants!$B$30)</f>
        <v>4.9000000000000004</v>
      </c>
    </row>
    <row r="241" spans="1:28" ht="14.5">
      <c r="A241" s="394">
        <f t="shared" si="9"/>
        <v>45164</v>
      </c>
      <c r="B241" s="261">
        <v>71.599999999999994</v>
      </c>
      <c r="C241" s="265">
        <v>29.603999999999999</v>
      </c>
      <c r="D241" s="245">
        <f>C241*[1]Constants!$B$19</f>
        <v>1002.5098559999999</v>
      </c>
      <c r="E241" s="245" t="s">
        <v>103</v>
      </c>
      <c r="F241" s="259">
        <f>100*((([1]Constants!$B$25*EXP(([1]Constants!$B$24*J241)/(J241+[1]Constants!$B$23)))-0.8*(H241-J241))/([1]Constants!$B$25*EXP(([1]Constants!$B$24*H241)/(H241+[1]Constants!$B$23))))</f>
        <v>81.876282385426421</v>
      </c>
      <c r="G241" s="247">
        <f>([1]Constants!$B$23*LN((([1]Constants!$B$25*EXP(([1]Constants!$B$24*J241)/(J241+[1]Constants!$B$23)))-0.8*(H241-J241))/[1]Constants!$B$25))/([1]Constants!$B$24-LN((([1]Constants!$B$25*EXP(([1]Constants!$B$24*J241)/(J241+[1]Constants!$B$23)))-0.8*(H241-J241))/[1]Constants!$B$25))</f>
        <v>12.419560667141662</v>
      </c>
      <c r="H241" s="261">
        <v>15.5</v>
      </c>
      <c r="I241" s="251">
        <v>15.6</v>
      </c>
      <c r="J241" s="251">
        <v>13.8</v>
      </c>
      <c r="K241" s="251">
        <v>19.399999999999999</v>
      </c>
      <c r="L241" s="251" t="s">
        <v>103</v>
      </c>
      <c r="M241" s="43">
        <f t="shared" si="8"/>
        <v>15.6</v>
      </c>
      <c r="N241" s="251">
        <v>11.8</v>
      </c>
      <c r="O241" s="251">
        <v>11.4</v>
      </c>
      <c r="P241" s="251">
        <v>13.1</v>
      </c>
      <c r="Q241" s="251">
        <v>17.7</v>
      </c>
      <c r="R241" s="251">
        <v>19.7</v>
      </c>
      <c r="S241" s="251">
        <v>18.5</v>
      </c>
      <c r="T241" s="251">
        <v>0.7</v>
      </c>
      <c r="U241" s="272">
        <v>1</v>
      </c>
      <c r="V241" s="262"/>
      <c r="W241" s="245">
        <v>4.5</v>
      </c>
      <c r="X241" s="262">
        <v>8</v>
      </c>
      <c r="Y241" s="262">
        <v>6</v>
      </c>
      <c r="Z241" s="263" t="s">
        <v>89</v>
      </c>
      <c r="AA241" s="264">
        <v>9</v>
      </c>
      <c r="AB241" s="259">
        <f>AA241-(AA241*[1]Constants!$B$30)</f>
        <v>6.3000000000000007</v>
      </c>
    </row>
    <row r="242" spans="1:28" ht="14.5">
      <c r="A242" s="394">
        <f t="shared" si="9"/>
        <v>45165</v>
      </c>
      <c r="B242" s="261">
        <v>71.400000000000006</v>
      </c>
      <c r="C242" s="265">
        <v>29.684999999999999</v>
      </c>
      <c r="D242" s="245">
        <f>C242*[1]Constants!$B$19</f>
        <v>1005.2528399999999</v>
      </c>
      <c r="E242" s="245" t="s">
        <v>103</v>
      </c>
      <c r="F242" s="259">
        <f>100*((([1]Constants!$B$25*EXP(([1]Constants!$B$24*J242)/(J242+[1]Constants!$B$23)))-0.8*(H242-J242))/([1]Constants!$B$25*EXP(([1]Constants!$B$24*H242)/(H242+[1]Constants!$B$23))))</f>
        <v>76.241071888158032</v>
      </c>
      <c r="G242" s="247">
        <f>([1]Constants!$B$23*LN((([1]Constants!$B$25*EXP(([1]Constants!$B$24*J242)/(J242+[1]Constants!$B$23)))-0.8*(H242-J242))/[1]Constants!$B$25))/([1]Constants!$B$24-LN((([1]Constants!$B$25*EXP(([1]Constants!$B$24*J242)/(J242+[1]Constants!$B$23)))-0.8*(H242-J242))/[1]Constants!$B$25))</f>
        <v>12.016337300537572</v>
      </c>
      <c r="H242" s="261">
        <v>16.2</v>
      </c>
      <c r="I242" s="251">
        <v>16.5</v>
      </c>
      <c r="J242" s="251">
        <v>13.9</v>
      </c>
      <c r="K242" s="251">
        <v>19.600000000000001</v>
      </c>
      <c r="L242" s="251" t="s">
        <v>103</v>
      </c>
      <c r="M242" s="43">
        <f t="shared" si="8"/>
        <v>14.55</v>
      </c>
      <c r="N242" s="251">
        <v>9.5</v>
      </c>
      <c r="O242" s="251">
        <v>8.4</v>
      </c>
      <c r="P242" s="251">
        <v>9.9</v>
      </c>
      <c r="Q242" s="251">
        <v>15.7</v>
      </c>
      <c r="R242" s="251">
        <v>19.2</v>
      </c>
      <c r="S242" s="251">
        <v>18.5</v>
      </c>
      <c r="T242" s="251">
        <v>0.15</v>
      </c>
      <c r="U242" s="272">
        <v>1</v>
      </c>
      <c r="V242" s="262"/>
      <c r="W242" s="245">
        <v>8.25</v>
      </c>
      <c r="X242" s="262">
        <v>8</v>
      </c>
      <c r="Y242" s="262">
        <v>2</v>
      </c>
      <c r="Z242" s="263" t="s">
        <v>82</v>
      </c>
      <c r="AA242" s="264">
        <v>11</v>
      </c>
      <c r="AB242" s="259">
        <f>AA242-(AA242*[1]Constants!$B$30)</f>
        <v>7.7</v>
      </c>
    </row>
    <row r="243" spans="1:28" ht="14.5">
      <c r="A243" s="394">
        <f t="shared" si="9"/>
        <v>45166</v>
      </c>
      <c r="B243" s="261">
        <v>70.5</v>
      </c>
      <c r="C243" s="265">
        <v>29.82</v>
      </c>
      <c r="D243" s="245">
        <f>C243*[1]Constants!$B$19</f>
        <v>1009.8244799999999</v>
      </c>
      <c r="E243" s="245" t="s">
        <v>103</v>
      </c>
      <c r="F243" s="259">
        <f>100*((([1]Constants!$B$25*EXP(([1]Constants!$B$24*J243)/(J243+[1]Constants!$B$23)))-0.8*(H243-J243))/([1]Constants!$B$25*EXP(([1]Constants!$B$24*H243)/(H243+[1]Constants!$B$23))))</f>
        <v>82.641234862846218</v>
      </c>
      <c r="G243" s="247">
        <f>([1]Constants!$B$23*LN((([1]Constants!$B$25*EXP(([1]Constants!$B$24*J243)/(J243+[1]Constants!$B$23)))-0.8*(H243-J243))/[1]Constants!$B$25))/([1]Constants!$B$24-LN((([1]Constants!$B$25*EXP(([1]Constants!$B$24*J243)/(J243+[1]Constants!$B$23)))-0.8*(H243-J243))/[1]Constants!$B$25))</f>
        <v>12.07246621144354</v>
      </c>
      <c r="H243" s="261">
        <v>15</v>
      </c>
      <c r="I243" s="251">
        <v>15.2</v>
      </c>
      <c r="J243" s="251">
        <v>13.4</v>
      </c>
      <c r="K243" s="251">
        <v>19.899999999999999</v>
      </c>
      <c r="L243" s="251" t="s">
        <v>103</v>
      </c>
      <c r="M243" s="43">
        <f t="shared" si="8"/>
        <v>15.899999999999999</v>
      </c>
      <c r="N243" s="251">
        <v>11.9</v>
      </c>
      <c r="O243" s="251">
        <v>8.5</v>
      </c>
      <c r="P243" s="251">
        <v>11.3</v>
      </c>
      <c r="Q243" s="251">
        <v>16.600000000000001</v>
      </c>
      <c r="R243" s="251">
        <v>18.8</v>
      </c>
      <c r="S243" s="251">
        <v>18.5</v>
      </c>
      <c r="T243" s="251" t="s">
        <v>91</v>
      </c>
      <c r="U243" s="272">
        <v>1</v>
      </c>
      <c r="V243" s="262"/>
      <c r="W243" s="245">
        <v>4</v>
      </c>
      <c r="X243" s="262">
        <v>8</v>
      </c>
      <c r="Y243" s="262">
        <v>7</v>
      </c>
      <c r="Z243" s="263" t="s">
        <v>82</v>
      </c>
      <c r="AA243" s="264">
        <v>14</v>
      </c>
      <c r="AB243" s="259">
        <f>AA243-(AA243*[1]Constants!$B$30)</f>
        <v>9.8000000000000007</v>
      </c>
    </row>
    <row r="244" spans="1:28" ht="14.5">
      <c r="A244" s="394">
        <f t="shared" si="9"/>
        <v>45167</v>
      </c>
      <c r="B244" s="261">
        <v>70</v>
      </c>
      <c r="C244" s="265">
        <v>29.77</v>
      </c>
      <c r="D244" s="245">
        <f>C244*[1]Constants!$B$19</f>
        <v>1008.1312799999999</v>
      </c>
      <c r="E244" s="245" t="s">
        <v>103</v>
      </c>
      <c r="F244" s="259">
        <f>100*((([1]Constants!$B$25*EXP(([1]Constants!$B$24*J244)/(J244+[1]Constants!$B$23)))-0.8*(H244-J244))/([1]Constants!$B$25*EXP(([1]Constants!$B$24*H244)/(H244+[1]Constants!$B$23))))</f>
        <v>72.627939360256747</v>
      </c>
      <c r="G244" s="247">
        <f>([1]Constants!$B$23*LN((([1]Constants!$B$25*EXP(([1]Constants!$B$24*J244)/(J244+[1]Constants!$B$23)))-0.8*(H244-J244))/[1]Constants!$B$25))/([1]Constants!$B$24-LN((([1]Constants!$B$25*EXP(([1]Constants!$B$24*J244)/(J244+[1]Constants!$B$23)))-0.8*(H244-J244))/[1]Constants!$B$25))</f>
        <v>11.666726702517558</v>
      </c>
      <c r="H244" s="261">
        <v>16.600000000000001</v>
      </c>
      <c r="I244" s="251">
        <v>16.8</v>
      </c>
      <c r="J244" s="251">
        <v>13.9</v>
      </c>
      <c r="K244" s="251">
        <v>19.600000000000001</v>
      </c>
      <c r="L244" s="251" t="s">
        <v>103</v>
      </c>
      <c r="M244" s="43">
        <f t="shared" si="8"/>
        <v>16.600000000000001</v>
      </c>
      <c r="N244" s="251">
        <v>13.6</v>
      </c>
      <c r="O244" s="251">
        <v>13.7</v>
      </c>
      <c r="P244" s="251">
        <v>14.6</v>
      </c>
      <c r="Q244" s="251">
        <v>17.600000000000001</v>
      </c>
      <c r="R244" s="251">
        <v>18.899999999999999</v>
      </c>
      <c r="S244" s="251">
        <v>18.399999999999999</v>
      </c>
      <c r="T244" s="251">
        <v>1.4</v>
      </c>
      <c r="U244" s="272">
        <v>1</v>
      </c>
      <c r="V244" s="262"/>
      <c r="W244" s="245">
        <v>2</v>
      </c>
      <c r="X244" s="262">
        <v>8</v>
      </c>
      <c r="Y244" s="262">
        <v>7</v>
      </c>
      <c r="Z244" s="263" t="s">
        <v>82</v>
      </c>
      <c r="AA244" s="264">
        <v>7</v>
      </c>
      <c r="AB244" s="259">
        <f>AA244-(AA244*[1]Constants!$B$30)</f>
        <v>4.9000000000000004</v>
      </c>
    </row>
    <row r="245" spans="1:28" ht="14.5">
      <c r="A245" s="394">
        <f t="shared" si="9"/>
        <v>45168</v>
      </c>
      <c r="B245" s="261">
        <v>69.900000000000006</v>
      </c>
      <c r="C245" s="265">
        <v>29.652000000000001</v>
      </c>
      <c r="D245" s="245">
        <f>C245*[1]Constants!$B$19</f>
        <v>1004.135328</v>
      </c>
      <c r="E245" s="245" t="s">
        <v>103</v>
      </c>
      <c r="F245" s="259">
        <f>100*((([1]Constants!$B$25*EXP(([1]Constants!$B$24*J245)/(J245+[1]Constants!$B$23)))-0.8*(H245-J245))/([1]Constants!$B$25*EXP(([1]Constants!$B$24*H245)/(H245+[1]Constants!$B$23))))</f>
        <v>76.879212442928548</v>
      </c>
      <c r="G245" s="247">
        <f>([1]Constants!$B$23*LN((([1]Constants!$B$25*EXP(([1]Constants!$B$24*J245)/(J245+[1]Constants!$B$23)))-0.8*(H245-J245))/[1]Constants!$B$25))/([1]Constants!$B$24-LN((([1]Constants!$B$25*EXP(([1]Constants!$B$24*J245)/(J245+[1]Constants!$B$23)))-0.8*(H245-J245))/[1]Constants!$B$25))</f>
        <v>11.65836453928304</v>
      </c>
      <c r="H245" s="261">
        <v>15.7</v>
      </c>
      <c r="I245" s="251">
        <v>15.7</v>
      </c>
      <c r="J245" s="251">
        <v>13.5</v>
      </c>
      <c r="K245" s="251">
        <v>19.8</v>
      </c>
      <c r="L245" s="251" t="s">
        <v>103</v>
      </c>
      <c r="M245" s="43">
        <f t="shared" si="8"/>
        <v>14.5</v>
      </c>
      <c r="N245" s="251">
        <v>9.1999999999999993</v>
      </c>
      <c r="O245" s="251">
        <v>9</v>
      </c>
      <c r="P245" s="251">
        <v>9.9</v>
      </c>
      <c r="Q245" s="251">
        <v>15.9</v>
      </c>
      <c r="R245" s="251">
        <v>18.8</v>
      </c>
      <c r="S245" s="251">
        <v>18.3</v>
      </c>
      <c r="T245" s="251">
        <v>0.3</v>
      </c>
      <c r="U245" s="272">
        <v>1</v>
      </c>
      <c r="V245" s="262"/>
      <c r="W245" s="245">
        <v>8.1999999999999993</v>
      </c>
      <c r="X245" s="262">
        <v>8</v>
      </c>
      <c r="Y245" s="262">
        <v>6</v>
      </c>
      <c r="Z245" s="263" t="s">
        <v>82</v>
      </c>
      <c r="AA245" s="264">
        <v>12</v>
      </c>
      <c r="AB245" s="259">
        <f>AA245-(AA245*[1]Constants!$B$30)</f>
        <v>8.4</v>
      </c>
    </row>
    <row r="246" spans="1:28" ht="14.5">
      <c r="A246" s="394">
        <f t="shared" si="9"/>
        <v>45169</v>
      </c>
      <c r="B246" s="261">
        <v>70.099999999999994</v>
      </c>
      <c r="C246" s="265">
        <v>29.675999999999998</v>
      </c>
      <c r="D246" s="245">
        <f>C246*[1]Constants!$B$19</f>
        <v>1004.9480639999998</v>
      </c>
      <c r="E246" s="245" t="s">
        <v>103</v>
      </c>
      <c r="F246" s="259">
        <f>100*((([1]Constants!$B$25*EXP(([1]Constants!$B$24*J246)/(J246+[1]Constants!$B$23)))-0.8*(H246-J246))/([1]Constants!$B$25*EXP(([1]Constants!$B$24*H246)/(H246+[1]Constants!$B$23))))</f>
        <v>87.237117646251392</v>
      </c>
      <c r="G246" s="247">
        <f>([1]Constants!$B$23*LN((([1]Constants!$B$25*EXP(([1]Constants!$B$24*J246)/(J246+[1]Constants!$B$23)))-0.8*(H246-J246))/[1]Constants!$B$25))/([1]Constants!$B$24-LN((([1]Constants!$B$25*EXP(([1]Constants!$B$24*J246)/(J246+[1]Constants!$B$23)))-0.8*(H246-J246))/[1]Constants!$B$25))</f>
        <v>11.12578610122188</v>
      </c>
      <c r="H246" s="261">
        <v>13.2</v>
      </c>
      <c r="I246" s="251">
        <v>13.4</v>
      </c>
      <c r="J246" s="251">
        <v>12.1</v>
      </c>
      <c r="K246" s="251">
        <v>16.3</v>
      </c>
      <c r="L246" s="251" t="s">
        <v>103</v>
      </c>
      <c r="M246" s="43">
        <f t="shared" si="8"/>
        <v>13.4</v>
      </c>
      <c r="N246" s="251">
        <v>10.5</v>
      </c>
      <c r="O246" s="251">
        <v>9.4</v>
      </c>
      <c r="P246" s="251">
        <v>10.5</v>
      </c>
      <c r="Q246" s="251">
        <v>16.100000000000001</v>
      </c>
      <c r="R246" s="251">
        <v>18.2</v>
      </c>
      <c r="S246" s="251">
        <v>18.3</v>
      </c>
      <c r="T246" s="251">
        <v>4.5</v>
      </c>
      <c r="U246" s="272">
        <v>1</v>
      </c>
      <c r="V246" s="262"/>
      <c r="W246" s="245">
        <v>0</v>
      </c>
      <c r="X246" s="262">
        <v>8</v>
      </c>
      <c r="Y246" s="262">
        <v>8</v>
      </c>
      <c r="Z246" s="263" t="s">
        <v>82</v>
      </c>
      <c r="AA246" s="264">
        <v>4</v>
      </c>
      <c r="AB246" s="259">
        <f>AA246-(AA246*[1]Constants!$B$30)</f>
        <v>2.8</v>
      </c>
    </row>
    <row r="247" spans="1:28" ht="14.5">
      <c r="A247" s="394">
        <f t="shared" si="9"/>
        <v>45170</v>
      </c>
      <c r="B247" s="387">
        <v>69.599999999999994</v>
      </c>
      <c r="C247" s="244">
        <v>29.696000000000002</v>
      </c>
      <c r="D247" s="245">
        <f>C247*[2]Constants!$B$19</f>
        <v>1005.6253439999999</v>
      </c>
      <c r="E247" s="246" t="s">
        <v>103</v>
      </c>
      <c r="F247" s="247">
        <f>100*((([2]Constants!$B$25*EXP(([2]Constants!$B$24*J247)/(J247+[2]Constants!$B$23)))-0.8*(H247-J247))/([2]Constants!$B$25*EXP(([2]Constants!$B$24*H247)/(H247+[2]Constants!$B$23))))</f>
        <v>96.778345853146419</v>
      </c>
      <c r="G247" s="248">
        <f>[3]Readings!$G$6</f>
        <v>16.761451296256311</v>
      </c>
      <c r="H247" s="249">
        <v>16</v>
      </c>
      <c r="I247" s="250">
        <v>16</v>
      </c>
      <c r="J247" s="251">
        <v>15.7</v>
      </c>
      <c r="K247" s="250">
        <v>22.3</v>
      </c>
      <c r="L247" s="250" t="s">
        <v>103</v>
      </c>
      <c r="M247" s="43">
        <f t="shared" si="8"/>
        <v>17.8</v>
      </c>
      <c r="N247" s="250">
        <v>13.3</v>
      </c>
      <c r="O247" s="252">
        <v>14.4</v>
      </c>
      <c r="P247" s="252">
        <v>14.7</v>
      </c>
      <c r="Q247" s="253">
        <v>17.399999999999999</v>
      </c>
      <c r="R247" s="253">
        <v>18.3</v>
      </c>
      <c r="S247" s="253">
        <v>18</v>
      </c>
      <c r="T247" s="254" t="s">
        <v>91</v>
      </c>
      <c r="U247" s="255">
        <v>1</v>
      </c>
      <c r="V247" s="256"/>
      <c r="W247" s="253">
        <v>1.2</v>
      </c>
      <c r="X247" s="255">
        <v>7</v>
      </c>
      <c r="Y247" s="255">
        <v>8</v>
      </c>
      <c r="Z247" s="257" t="s">
        <v>82</v>
      </c>
      <c r="AA247" s="258">
        <v>6</v>
      </c>
      <c r="AB247" s="259">
        <f>AA247-(AA247*[2]Constants!$B$30)</f>
        <v>4.2</v>
      </c>
    </row>
    <row r="248" spans="1:28" ht="14.5">
      <c r="A248" s="394">
        <f t="shared" si="9"/>
        <v>45171</v>
      </c>
      <c r="B248" s="388">
        <v>70.599999999999994</v>
      </c>
      <c r="C248" s="260">
        <v>29.95</v>
      </c>
      <c r="D248" s="245">
        <f>C248*[2]Constants!$B$19</f>
        <v>1014.2267999999999</v>
      </c>
      <c r="E248" s="245" t="s">
        <v>103</v>
      </c>
      <c r="F248" s="247">
        <f>100*((([2]Constants!$B$25*EXP(([2]Constants!$B$24*J248)/(J248+[2]Constants!$B$23)))-0.8*(H248-J248))/([2]Constants!$B$25*EXP(([2]Constants!$B$24*H248)/(H248+[2]Constants!$B$23))))</f>
        <v>79.967574799624458</v>
      </c>
      <c r="G248" s="248">
        <f>([2]Constants!$B$23*LN((([2]Constants!$B$25*EXP(([2]Constants!$B$24*J248)/(J248+[2]Constants!$B$23)))-0.8*(H248-J248))/[2]Constants!$B$25))/([2]Constants!$B$24-LN((([2]Constants!$B$25*EXP(([2]Constants!$B$24*J248)/(J248+[2]Constants!$B$23)))-0.8*(H248-J248))/[2]Constants!$B$25))</f>
        <v>15.46806553425729</v>
      </c>
      <c r="H248" s="261">
        <v>19</v>
      </c>
      <c r="I248" s="251">
        <v>19.2</v>
      </c>
      <c r="J248" s="251">
        <v>16.899999999999999</v>
      </c>
      <c r="K248" s="251">
        <v>24</v>
      </c>
      <c r="L248" s="250" t="s">
        <v>103</v>
      </c>
      <c r="M248" s="43">
        <f t="shared" si="8"/>
        <v>18.600000000000001</v>
      </c>
      <c r="N248" s="251">
        <v>13.2</v>
      </c>
      <c r="O248" s="251">
        <v>12.6</v>
      </c>
      <c r="P248" s="251">
        <v>13.2</v>
      </c>
      <c r="Q248" s="251">
        <v>17.8</v>
      </c>
      <c r="R248" s="251">
        <v>18.8</v>
      </c>
      <c r="S248" s="251">
        <v>18</v>
      </c>
      <c r="T248" s="245">
        <v>0</v>
      </c>
      <c r="U248" s="262">
        <v>1</v>
      </c>
      <c r="V248" s="256"/>
      <c r="W248" s="251">
        <v>10</v>
      </c>
      <c r="X248" s="262">
        <v>8</v>
      </c>
      <c r="Y248" s="262">
        <v>3</v>
      </c>
      <c r="Z248" s="263" t="s">
        <v>82</v>
      </c>
      <c r="AA248" s="264">
        <v>8</v>
      </c>
      <c r="AB248" s="259">
        <f>AA248-(AA248*[2]Constants!$B$30)</f>
        <v>5.6</v>
      </c>
    </row>
    <row r="249" spans="1:28" ht="14.5">
      <c r="A249" s="394">
        <f t="shared" si="9"/>
        <v>45172</v>
      </c>
      <c r="B249" s="297">
        <v>71.099999999999994</v>
      </c>
      <c r="C249" s="265">
        <v>30.204000000000001</v>
      </c>
      <c r="D249" s="245">
        <f>C249*[2]Constants!$B$19</f>
        <v>1022.8282559999999</v>
      </c>
      <c r="E249" s="246" t="s">
        <v>103</v>
      </c>
      <c r="F249" s="247">
        <f>100*((([2]Constants!$B$25*EXP(([2]Constants!$B$24*J249)/(J249+[2]Constants!$B$23)))-0.8*(H249-J249))/([2]Constants!$B$25*EXP(([2]Constants!$B$24*H249)/(H249+[2]Constants!$B$23))))</f>
        <v>84.297998863151449</v>
      </c>
      <c r="G249" s="248">
        <f>([2]Constants!$B$23*LN((([2]Constants!$B$25*EXP(([2]Constants!$B$24*J249)/(J249+[2]Constants!$B$23)))-0.8*(H249-J249))/[2]Constants!$B$25))/([2]Constants!$B$24-LN((([2]Constants!$B$25*EXP(([2]Constants!$B$24*J249)/(J249+[2]Constants!$B$23)))-0.8*(H249-J249))/[2]Constants!$B$25))</f>
        <v>15.607027930377537</v>
      </c>
      <c r="H249" s="261">
        <v>18.3</v>
      </c>
      <c r="I249" s="251">
        <v>18.5</v>
      </c>
      <c r="J249" s="266">
        <v>16.7</v>
      </c>
      <c r="K249" s="251" t="s">
        <v>106</v>
      </c>
      <c r="L249" s="250" t="s">
        <v>103</v>
      </c>
      <c r="M249" s="43">
        <f t="shared" si="8"/>
        <v>11.7</v>
      </c>
      <c r="N249" s="251">
        <v>11.7</v>
      </c>
      <c r="O249" s="251">
        <v>10.3</v>
      </c>
      <c r="P249" s="251">
        <v>11.5</v>
      </c>
      <c r="Q249" s="251">
        <v>17.7</v>
      </c>
      <c r="R249" s="251">
        <v>18.899999999999999</v>
      </c>
      <c r="S249" s="251">
        <v>18</v>
      </c>
      <c r="T249" s="245" t="s">
        <v>91</v>
      </c>
      <c r="U249" s="262">
        <v>1</v>
      </c>
      <c r="V249" s="256"/>
      <c r="W249" s="251">
        <v>10.5</v>
      </c>
      <c r="X249" s="262">
        <v>8</v>
      </c>
      <c r="Y249" s="262">
        <v>3</v>
      </c>
      <c r="Z249" s="263" t="s">
        <v>82</v>
      </c>
      <c r="AA249" s="264">
        <v>0</v>
      </c>
      <c r="AB249" s="259">
        <f>AA249-(AA249*[2]Constants!$B$30)</f>
        <v>0</v>
      </c>
    </row>
    <row r="250" spans="1:28" ht="14.5">
      <c r="A250" s="394">
        <f t="shared" si="9"/>
        <v>45173</v>
      </c>
      <c r="B250" s="297">
        <v>72.2</v>
      </c>
      <c r="C250" s="265">
        <v>30.196000000000002</v>
      </c>
      <c r="D250" s="245">
        <f>C250*[2]Constants!$B$19</f>
        <v>1022.5573439999999</v>
      </c>
      <c r="E250" s="245" t="s">
        <v>103</v>
      </c>
      <c r="F250" s="247">
        <f>100*((([2]Constants!$B$25*EXP(([2]Constants!$B$24*J250)/(J250+[2]Constants!$B$23)))-0.8*(H250-J250))/([2]Constants!$B$25*EXP(([2]Constants!$B$24*H250)/(H250+[2]Constants!$B$23))))</f>
        <v>66.628725518439452</v>
      </c>
      <c r="G250" s="248">
        <f>([2]Constants!$B$23*LN((([2]Constants!$B$25*EXP(([2]Constants!$B$24*J250)/(J250+[2]Constants!$B$23)))-0.8*(H250-J250))/[2]Constants!$B$25))/([2]Constants!$B$24-LN((([2]Constants!$B$25*EXP(([2]Constants!$B$24*J250)/(J250+[2]Constants!$B$23)))-0.8*(H250-J250))/[2]Constants!$B$25))</f>
        <v>16.271843699834083</v>
      </c>
      <c r="H250" s="267">
        <v>22.8</v>
      </c>
      <c r="I250" s="267" t="s">
        <v>107</v>
      </c>
      <c r="J250" s="245">
        <v>18.8</v>
      </c>
      <c r="K250" s="251">
        <v>29</v>
      </c>
      <c r="L250" s="250" t="s">
        <v>103</v>
      </c>
      <c r="M250" s="43">
        <f t="shared" si="8"/>
        <v>21</v>
      </c>
      <c r="N250" s="251">
        <v>13</v>
      </c>
      <c r="O250" s="251">
        <v>11.4</v>
      </c>
      <c r="P250" s="251">
        <v>12.6</v>
      </c>
      <c r="Q250" s="251">
        <v>17.899999999999999</v>
      </c>
      <c r="R250" s="245">
        <v>19</v>
      </c>
      <c r="S250" s="251" t="s">
        <v>108</v>
      </c>
      <c r="T250" s="245">
        <v>0</v>
      </c>
      <c r="U250" s="266">
        <v>1</v>
      </c>
      <c r="V250" s="256"/>
      <c r="W250" s="251">
        <v>12.9</v>
      </c>
      <c r="X250" s="266">
        <v>8</v>
      </c>
      <c r="Y250" s="266">
        <v>0</v>
      </c>
      <c r="Z250" s="263" t="s">
        <v>82</v>
      </c>
      <c r="AA250" s="264">
        <v>6</v>
      </c>
      <c r="AB250" s="259">
        <f>AA250-(AA250*[2]Constants!$B$30)</f>
        <v>4.2</v>
      </c>
    </row>
    <row r="251" spans="1:28" ht="14.5">
      <c r="A251" s="394">
        <f t="shared" si="9"/>
        <v>45174</v>
      </c>
      <c r="B251" s="261">
        <v>72.2</v>
      </c>
      <c r="C251" s="268">
        <v>29.89</v>
      </c>
      <c r="D251" s="245">
        <f>C251*[2]Constants!$B$19</f>
        <v>1012.1949599999999</v>
      </c>
      <c r="E251" s="246" t="s">
        <v>103</v>
      </c>
      <c r="F251" s="247">
        <f>100*((([2]Constants!$B$25*EXP(([2]Constants!$B$24*J251)/(J251+[2]Constants!$B$23)))-0.8*(H251-J251))/([2]Constants!$B$25*EXP(([2]Constants!$B$24*H251)/(H251+[2]Constants!$B$23))))</f>
        <v>80.889388498678599</v>
      </c>
      <c r="G251" s="248">
        <f>([2]Constants!$B$23*LN((([2]Constants!$B$25*EXP(([2]Constants!$B$24*J251)/(J251+[2]Constants!$B$23)))-0.8*(H251-J251))/[2]Constants!$B$25))/([2]Constants!$B$24-LN((([2]Constants!$B$25*EXP(([2]Constants!$B$24*J251)/(J251+[2]Constants!$B$23)))-0.8*(H251-J251))/[2]Constants!$B$25))</f>
        <v>15.64683553815779</v>
      </c>
      <c r="H251" s="261">
        <v>19</v>
      </c>
      <c r="I251" s="251">
        <v>19.100000000000001</v>
      </c>
      <c r="J251" s="251">
        <v>17</v>
      </c>
      <c r="K251" s="251">
        <v>29.2</v>
      </c>
      <c r="L251" s="250" t="s">
        <v>103</v>
      </c>
      <c r="M251" s="43">
        <f t="shared" si="8"/>
        <v>20.8</v>
      </c>
      <c r="N251" s="251">
        <v>12.4</v>
      </c>
      <c r="O251" s="251">
        <v>11.4</v>
      </c>
      <c r="P251" s="251">
        <v>12.4</v>
      </c>
      <c r="Q251" s="251">
        <v>18.600000000000001</v>
      </c>
      <c r="R251" s="251">
        <v>19.3</v>
      </c>
      <c r="S251" s="251">
        <v>18.100000000000001</v>
      </c>
      <c r="T251" s="245">
        <v>0</v>
      </c>
      <c r="U251" s="262">
        <v>1</v>
      </c>
      <c r="V251" s="256"/>
      <c r="W251" s="251">
        <v>9.5</v>
      </c>
      <c r="X251" s="262">
        <v>6</v>
      </c>
      <c r="Y251" s="262">
        <v>0</v>
      </c>
      <c r="Z251" s="263" t="s">
        <v>82</v>
      </c>
      <c r="AA251" s="264">
        <v>5</v>
      </c>
      <c r="AB251" s="259">
        <f>AA251-(AA251*[2]Constants!$B$30)</f>
        <v>3.5</v>
      </c>
    </row>
    <row r="252" spans="1:28" ht="14.5">
      <c r="A252" s="394">
        <f t="shared" si="9"/>
        <v>45175</v>
      </c>
      <c r="B252" s="261">
        <v>74</v>
      </c>
      <c r="C252" s="268">
        <v>30.004000000000001</v>
      </c>
      <c r="D252" s="245">
        <f>C252*[2]Constants!$B$19</f>
        <v>1016.0554559999999</v>
      </c>
      <c r="E252" s="245" t="s">
        <v>103</v>
      </c>
      <c r="F252" s="247">
        <f>100*((([2]Constants!$B$25*EXP(([2]Constants!$B$24*J252)/(J252+[2]Constants!$B$23)))-0.8*(H252-J252))/([2]Constants!$B$25*EXP(([2]Constants!$B$24*H252)/(H252+[2]Constants!$B$23))))</f>
        <v>76.469218312586037</v>
      </c>
      <c r="G252" s="248">
        <f>([2]Constants!$B$23*LN((([2]Constants!$B$25*EXP(([2]Constants!$B$24*J252)/(J252+[2]Constants!$B$23)))-0.8*(H252-J252))/[2]Constants!$B$25))/([2]Constants!$B$24-LN((([2]Constants!$B$25*EXP(([2]Constants!$B$24*J252)/(J252+[2]Constants!$B$23)))-0.8*(H252-J252))/[2]Constants!$B$25))</f>
        <v>16.321424297378091</v>
      </c>
      <c r="H252" s="261">
        <v>20.6</v>
      </c>
      <c r="I252" s="251">
        <v>20.7</v>
      </c>
      <c r="J252" s="251">
        <v>18</v>
      </c>
      <c r="K252" s="251">
        <v>29.6</v>
      </c>
      <c r="L252" s="250" t="s">
        <v>103</v>
      </c>
      <c r="M252" s="43">
        <f t="shared" si="8"/>
        <v>22.4</v>
      </c>
      <c r="N252" s="251">
        <v>15.2</v>
      </c>
      <c r="O252" s="251">
        <v>12.9</v>
      </c>
      <c r="P252" s="251">
        <v>14.9</v>
      </c>
      <c r="Q252" s="251">
        <v>20.2</v>
      </c>
      <c r="R252" s="251">
        <v>20.2</v>
      </c>
      <c r="S252" s="251">
        <v>18.100000000000001</v>
      </c>
      <c r="T252" s="245">
        <v>0</v>
      </c>
      <c r="U252" s="262">
        <v>9</v>
      </c>
      <c r="V252" s="270"/>
      <c r="W252" s="251">
        <v>9</v>
      </c>
      <c r="X252" s="262">
        <v>7</v>
      </c>
      <c r="Y252" s="262">
        <v>0</v>
      </c>
      <c r="Z252" s="263" t="s">
        <v>82</v>
      </c>
      <c r="AA252" s="264">
        <v>3</v>
      </c>
      <c r="AB252" s="259">
        <f>AA252-(AA252*[2]Constants!$B$30)</f>
        <v>2.1</v>
      </c>
    </row>
    <row r="253" spans="1:28" ht="14.5">
      <c r="A253" s="394">
        <f t="shared" si="9"/>
        <v>45176</v>
      </c>
      <c r="B253" s="261">
        <v>75</v>
      </c>
      <c r="C253" s="268">
        <v>29.931999999999999</v>
      </c>
      <c r="D253" s="245">
        <f>C253*[2]Constants!$B$19</f>
        <v>1013.6172479999999</v>
      </c>
      <c r="E253" s="246" t="s">
        <v>103</v>
      </c>
      <c r="F253" s="247">
        <f>100*((([2]Constants!$B$25*EXP(([2]Constants!$B$24*J253)/(J253+[2]Constants!$B$23)))-0.8*(H253-J253))/([2]Constants!$B$25*EXP(([2]Constants!$B$24*H253)/(H253+[2]Constants!$B$23))))</f>
        <v>72.81764059443833</v>
      </c>
      <c r="G253" s="248">
        <f>([2]Constants!$B$23*LN((([2]Constants!$B$25*EXP(([2]Constants!$B$24*J253)/(J253+[2]Constants!$B$23)))-0.8*(H253-J253))/[2]Constants!$B$25))/([2]Constants!$B$24-LN((([2]Constants!$B$25*EXP(([2]Constants!$B$24*J253)/(J253+[2]Constants!$B$23)))-0.8*(H253-J253))/[2]Constants!$B$25))</f>
        <v>18.634210806516375</v>
      </c>
      <c r="H253" s="261">
        <v>23.8</v>
      </c>
      <c r="I253" s="251">
        <v>23.9</v>
      </c>
      <c r="J253" s="251">
        <v>20.5</v>
      </c>
      <c r="K253" s="251">
        <v>30.8</v>
      </c>
      <c r="L253" s="250" t="s">
        <v>103</v>
      </c>
      <c r="M253" s="43">
        <f t="shared" si="8"/>
        <v>24.05</v>
      </c>
      <c r="N253" s="245">
        <v>17.3</v>
      </c>
      <c r="O253" s="251">
        <v>16</v>
      </c>
      <c r="P253" s="251">
        <v>16.899999999999999</v>
      </c>
      <c r="Q253" s="251">
        <v>21.6</v>
      </c>
      <c r="R253" s="251">
        <v>20.3</v>
      </c>
      <c r="S253" s="251">
        <v>18.2</v>
      </c>
      <c r="T253" s="245">
        <v>0</v>
      </c>
      <c r="U253" s="262">
        <v>6</v>
      </c>
      <c r="V253" s="271"/>
      <c r="W253" s="251">
        <v>9.75</v>
      </c>
      <c r="X253" s="272">
        <v>8</v>
      </c>
      <c r="Y253" s="272">
        <v>1</v>
      </c>
      <c r="Z253" s="263" t="s">
        <v>82</v>
      </c>
      <c r="AA253" s="264">
        <v>7</v>
      </c>
      <c r="AB253" s="259">
        <f>AA253-(AA253*[2]Constants!$B$30)</f>
        <v>4.9000000000000004</v>
      </c>
    </row>
    <row r="254" spans="1:28" ht="14.5">
      <c r="A254" s="394">
        <f t="shared" si="9"/>
        <v>45177</v>
      </c>
      <c r="B254" s="261">
        <v>76.099999999999994</v>
      </c>
      <c r="C254" s="268">
        <v>29.914000000000001</v>
      </c>
      <c r="D254" s="245">
        <f>C254*[2]Constants!$B$19</f>
        <v>1013.007696</v>
      </c>
      <c r="E254" s="245" t="s">
        <v>103</v>
      </c>
      <c r="F254" s="247">
        <f>100*((([2]Constants!$B$25*EXP(([2]Constants!$B$24*J254)/(J254+[2]Constants!$B$23)))-0.8*(H254-J254))/([2]Constants!$B$25*EXP(([2]Constants!$B$24*H254)/(H254+[2]Constants!$B$23))))</f>
        <v>73.465540706403189</v>
      </c>
      <c r="G254" s="248">
        <f>([2]Constants!$B$23*LN((([2]Constants!$B$25*EXP(([2]Constants!$B$24*J254)/(J254+[2]Constants!$B$23)))-0.8*(H254-J254))/[2]Constants!$B$25))/([2]Constants!$B$24-LN((([2]Constants!$B$25*EXP(([2]Constants!$B$24*J254)/(J254+[2]Constants!$B$23)))-0.8*(H254-J254))/[2]Constants!$B$25))</f>
        <v>17.427757499981254</v>
      </c>
      <c r="H254" s="261">
        <v>22.4</v>
      </c>
      <c r="I254" s="251">
        <v>22.4</v>
      </c>
      <c r="J254" s="251">
        <v>19.3</v>
      </c>
      <c r="K254" s="251">
        <v>30.2</v>
      </c>
      <c r="L254" s="250" t="s">
        <v>103</v>
      </c>
      <c r="M254" s="43">
        <f t="shared" si="8"/>
        <v>23.85</v>
      </c>
      <c r="N254" s="251">
        <v>17.5</v>
      </c>
      <c r="O254" s="269">
        <v>14.6</v>
      </c>
      <c r="P254" s="251">
        <v>16.899999999999999</v>
      </c>
      <c r="Q254" s="251">
        <v>21.9</v>
      </c>
      <c r="R254" s="251">
        <v>20.7</v>
      </c>
      <c r="S254" s="251">
        <v>18.399999999999999</v>
      </c>
      <c r="T254" s="251">
        <v>0</v>
      </c>
      <c r="U254" s="262">
        <v>9</v>
      </c>
      <c r="V254" s="245"/>
      <c r="W254" s="245">
        <v>6.3</v>
      </c>
      <c r="X254" s="262">
        <v>8</v>
      </c>
      <c r="Y254" s="262">
        <v>8</v>
      </c>
      <c r="Z254" s="263" t="s">
        <v>82</v>
      </c>
      <c r="AA254" s="264">
        <v>0</v>
      </c>
      <c r="AB254" s="259">
        <f>AA254-(AA254*[2]Constants!$B$30)</f>
        <v>0</v>
      </c>
    </row>
    <row r="255" spans="1:28" ht="14.5">
      <c r="A255" s="394">
        <f t="shared" si="9"/>
        <v>45178</v>
      </c>
      <c r="B255" s="261">
        <v>77.2</v>
      </c>
      <c r="C255" s="268">
        <v>29.885999999999999</v>
      </c>
      <c r="D255" s="245">
        <f>C255*[2]Constants!$B$19</f>
        <v>1012.0595039999999</v>
      </c>
      <c r="E255" s="246" t="s">
        <v>103</v>
      </c>
      <c r="F255" s="247">
        <f>100*((([2]Constants!$B$25*EXP(([2]Constants!$B$24*J255)/(J255+[2]Constants!$B$23)))-0.8*(H255-J255))/([2]Constants!$B$25*EXP(([2]Constants!$B$24*H255)/(H255+[2]Constants!$B$23))))</f>
        <v>66.883428328816748</v>
      </c>
      <c r="G255" s="248">
        <f>([2]Constants!$B$23*LN((([2]Constants!$B$25*EXP(([2]Constants!$B$24*J255)/(J255+[2]Constants!$B$23)))-0.8*(H255-J255))/[2]Constants!$B$25))/([2]Constants!$B$24-LN((([2]Constants!$B$25*EXP(([2]Constants!$B$24*J255)/(J255+[2]Constants!$B$23)))-0.8*(H255-J255))/[2]Constants!$B$25))</f>
        <v>19.282097161115544</v>
      </c>
      <c r="H255" s="261">
        <v>25.9</v>
      </c>
      <c r="I255" s="251">
        <v>26.1</v>
      </c>
      <c r="J255" s="251">
        <v>21.6</v>
      </c>
      <c r="K255" s="251">
        <v>31.4</v>
      </c>
      <c r="L255" s="250" t="s">
        <v>103</v>
      </c>
      <c r="M255" s="43">
        <f t="shared" si="8"/>
        <v>24.6</v>
      </c>
      <c r="N255" s="251">
        <v>17.8</v>
      </c>
      <c r="O255" s="251">
        <v>15.5</v>
      </c>
      <c r="P255" s="251">
        <v>16.8</v>
      </c>
      <c r="Q255" s="251">
        <v>22.4</v>
      </c>
      <c r="R255" s="251">
        <v>21.2</v>
      </c>
      <c r="S255" s="251">
        <v>18.399999999999999</v>
      </c>
      <c r="T255" s="251">
        <v>0</v>
      </c>
      <c r="U255" s="273">
        <v>0</v>
      </c>
      <c r="V255" s="274"/>
      <c r="W255" s="251">
        <v>10.65</v>
      </c>
      <c r="X255" s="262">
        <v>7</v>
      </c>
      <c r="Y255" s="262">
        <v>0</v>
      </c>
      <c r="Z255" s="263" t="s">
        <v>82</v>
      </c>
      <c r="AA255" s="264">
        <v>5</v>
      </c>
      <c r="AB255" s="259">
        <f>AA255-(AA255*[2]Constants!$B$30)</f>
        <v>3.5</v>
      </c>
    </row>
    <row r="256" spans="1:28" ht="14.5">
      <c r="A256" s="394">
        <f t="shared" si="9"/>
        <v>45179</v>
      </c>
      <c r="B256" s="387">
        <v>77.599999999999994</v>
      </c>
      <c r="C256" s="268">
        <v>29.86</v>
      </c>
      <c r="D256" s="245">
        <f>C256*[2]Constants!$B$19</f>
        <v>1011.1790399999999</v>
      </c>
      <c r="E256" s="245" t="s">
        <v>103</v>
      </c>
      <c r="F256" s="247">
        <f>100*((([2]Constants!$B$25*EXP(([2]Constants!$B$24*J256)/(J256+[2]Constants!$B$23)))-0.8*(H256-J256))/([2]Constants!$B$25*EXP(([2]Constants!$B$24*H256)/(H256+[2]Constants!$B$23))))</f>
        <v>73.014926737622943</v>
      </c>
      <c r="G256" s="248">
        <f>([2]Constants!$B$23*LN((([2]Constants!$B$25*EXP(([2]Constants!$B$24*J256)/(J256+[2]Constants!$B$23)))-0.8*(H256-J256))/[2]Constants!$B$25))/([2]Constants!$B$24-LN((([2]Constants!$B$25*EXP(([2]Constants!$B$24*J256)/(J256+[2]Constants!$B$23)))-0.8*(H256-J256))/[2]Constants!$B$25))</f>
        <v>18.966033418638393</v>
      </c>
      <c r="H256" s="261">
        <v>24.1</v>
      </c>
      <c r="I256" s="251">
        <v>24.1</v>
      </c>
      <c r="J256" s="251">
        <v>20.8</v>
      </c>
      <c r="K256" s="251">
        <v>26.8</v>
      </c>
      <c r="L256" s="250" t="s">
        <v>103</v>
      </c>
      <c r="M256" s="43">
        <f t="shared" si="8"/>
        <v>22.8</v>
      </c>
      <c r="N256" s="251">
        <v>18.8</v>
      </c>
      <c r="O256" s="251">
        <v>16.2</v>
      </c>
      <c r="P256" s="251">
        <v>18.100000000000001</v>
      </c>
      <c r="Q256" s="251">
        <v>23</v>
      </c>
      <c r="R256" s="251">
        <v>21.5</v>
      </c>
      <c r="S256" s="251">
        <v>18.7</v>
      </c>
      <c r="T256" s="251">
        <v>0</v>
      </c>
      <c r="U256" s="262">
        <v>1</v>
      </c>
      <c r="V256" s="275"/>
      <c r="W256" s="245">
        <v>5.0999999999999996</v>
      </c>
      <c r="X256" s="262">
        <v>8</v>
      </c>
      <c r="Y256" s="262">
        <v>7</v>
      </c>
      <c r="Z256" s="263" t="s">
        <v>89</v>
      </c>
      <c r="AA256" s="264">
        <v>0</v>
      </c>
      <c r="AB256" s="259">
        <f>AA256-(AA256*[2]Constants!$B$30)</f>
        <v>0</v>
      </c>
    </row>
    <row r="257" spans="1:28" ht="14.5">
      <c r="A257" s="394">
        <f t="shared" si="9"/>
        <v>45180</v>
      </c>
      <c r="B257" s="261">
        <v>76.2</v>
      </c>
      <c r="C257" s="265">
        <v>29.806000000000001</v>
      </c>
      <c r="D257" s="245">
        <f>C257*[2]Constants!$B$19</f>
        <v>1009.350384</v>
      </c>
      <c r="E257" s="246" t="s">
        <v>103</v>
      </c>
      <c r="F257" s="247">
        <f>100*((([2]Constants!$B$25*EXP(([2]Constants!$B$24*J257)/(J257+[2]Constants!$B$23)))-0.8*(H257-J257))/([2]Constants!$B$25*EXP(([2]Constants!$B$24*H257)/(H257+[2]Constants!$B$23))))</f>
        <v>69.624105791367867</v>
      </c>
      <c r="G257" s="248">
        <f>([2]Constants!$B$23*LN((([2]Constants!$B$25*EXP(([2]Constants!$B$24*J257)/(J257+[2]Constants!$B$23)))-0.8*(H257-J257))/[2]Constants!$B$25))/([2]Constants!$B$24-LN((([2]Constants!$B$25*EXP(([2]Constants!$B$24*J257)/(J257+[2]Constants!$B$23)))-0.8*(H257-J257))/[2]Constants!$B$25))</f>
        <v>15.815283610141835</v>
      </c>
      <c r="H257" s="261">
        <v>21.6</v>
      </c>
      <c r="I257" s="251">
        <v>21.7</v>
      </c>
      <c r="J257" s="251">
        <v>18.100000000000001</v>
      </c>
      <c r="K257" s="306">
        <v>23.9</v>
      </c>
      <c r="L257" s="250" t="s">
        <v>103</v>
      </c>
      <c r="M257" s="43">
        <f t="shared" si="8"/>
        <v>20.5</v>
      </c>
      <c r="N257" s="251">
        <v>17.100000000000001</v>
      </c>
      <c r="O257" s="251">
        <v>14.4</v>
      </c>
      <c r="P257" s="253">
        <v>16.2</v>
      </c>
      <c r="Q257" s="250" t="s">
        <v>103</v>
      </c>
      <c r="R257" s="251">
        <v>21.1</v>
      </c>
      <c r="S257" s="251">
        <v>18.8</v>
      </c>
      <c r="T257" s="251">
        <v>0.5</v>
      </c>
      <c r="U257" s="262">
        <v>0</v>
      </c>
      <c r="V257" s="274"/>
      <c r="W257" s="251">
        <v>7.4</v>
      </c>
      <c r="X257" s="262">
        <v>8</v>
      </c>
      <c r="Y257" s="262">
        <v>2</v>
      </c>
      <c r="Z257" s="263" t="s">
        <v>82</v>
      </c>
      <c r="AA257" s="264">
        <v>10</v>
      </c>
      <c r="AB257" s="259">
        <f>AA257-(AA257*[2]Constants!$B$30)</f>
        <v>7</v>
      </c>
    </row>
    <row r="258" spans="1:28" ht="14.5">
      <c r="A258" s="394">
        <f t="shared" si="9"/>
        <v>45181</v>
      </c>
      <c r="B258" s="261">
        <v>75.2</v>
      </c>
      <c r="C258" s="265">
        <v>29.802</v>
      </c>
      <c r="D258" s="245">
        <f>C258*[2]Constants!$B$19</f>
        <v>1009.2149279999999</v>
      </c>
      <c r="E258" s="245" t="s">
        <v>103</v>
      </c>
      <c r="F258" s="247">
        <f>100*((([2]Constants!$B$25*EXP(([2]Constants!$B$24*J258)/(J258+[2]Constants!$B$23)))-0.8*(H258-J258))/([2]Constants!$B$25*EXP(([2]Constants!$B$24*H258)/(H258+[2]Constants!$B$23))))</f>
        <v>82.839134201774726</v>
      </c>
      <c r="G258" s="248">
        <f>([2]Constants!$B$23*LN((([2]Constants!$B$25*EXP(([2]Constants!$B$24*J258)/(J258+[2]Constants!$B$23)))-0.8*(H258-J258))/[2]Constants!$B$25))/([2]Constants!$B$24-LN((([2]Constants!$B$25*EXP(([2]Constants!$B$24*J258)/(J258+[2]Constants!$B$23)))-0.8*(H258-J258))/[2]Constants!$B$25))</f>
        <v>16.214609542980284</v>
      </c>
      <c r="H258" s="261">
        <v>19.2</v>
      </c>
      <c r="I258" s="251">
        <v>19.399999999999999</v>
      </c>
      <c r="J258" s="251">
        <v>17.399999999999999</v>
      </c>
      <c r="K258" s="251">
        <v>21.2</v>
      </c>
      <c r="L258" s="250" t="s">
        <v>103</v>
      </c>
      <c r="M258" s="43">
        <f t="shared" ref="M258:M321" si="10">AVERAGE(K258,N258)</f>
        <v>19.149999999999999</v>
      </c>
      <c r="N258" s="251">
        <v>17.100000000000001</v>
      </c>
      <c r="O258" s="253">
        <v>15.4</v>
      </c>
      <c r="P258" s="253">
        <v>17.399999999999999</v>
      </c>
      <c r="Q258" s="250" t="s">
        <v>103</v>
      </c>
      <c r="R258" s="251">
        <v>20.8</v>
      </c>
      <c r="S258" s="251">
        <v>18.899999999999999</v>
      </c>
      <c r="T258" s="251" t="s">
        <v>93</v>
      </c>
      <c r="U258" s="262">
        <v>0</v>
      </c>
      <c r="V258" s="251"/>
      <c r="W258" s="251">
        <v>0.3</v>
      </c>
      <c r="X258" s="262">
        <v>8</v>
      </c>
      <c r="Y258" s="262">
        <v>8</v>
      </c>
      <c r="Z258" s="263" t="s">
        <v>82</v>
      </c>
      <c r="AA258" s="264">
        <v>5</v>
      </c>
      <c r="AB258" s="259">
        <f>AA258-(AA258*[2]Constants!$B$30)</f>
        <v>3.5</v>
      </c>
    </row>
    <row r="259" spans="1:28" ht="14.5">
      <c r="A259" s="394">
        <f t="shared" si="9"/>
        <v>45182</v>
      </c>
      <c r="B259" s="261">
        <v>72.2</v>
      </c>
      <c r="C259" s="265">
        <v>30.056000000000001</v>
      </c>
      <c r="D259" s="245">
        <f>C259*[2]Constants!$B$19</f>
        <v>1017.816384</v>
      </c>
      <c r="E259" s="246" t="s">
        <v>103</v>
      </c>
      <c r="F259" s="247">
        <f>100*((([2]Constants!$B$25*EXP(([2]Constants!$B$24*J259)/(J259+[2]Constants!$B$23)))-0.8*(H259-J259))/([2]Constants!$B$25*EXP(([2]Constants!$B$24*H259)/(H259+[2]Constants!$B$23))))</f>
        <v>74.698139292884917</v>
      </c>
      <c r="G259" s="248">
        <f>([2]Constants!$B$23*LN((([2]Constants!$B$25*EXP(([2]Constants!$B$24*J259)/(J259+[2]Constants!$B$23)))-0.8*(H259-J259))/[2]Constants!$B$25))/([2]Constants!$B$24-LN((([2]Constants!$B$25*EXP(([2]Constants!$B$24*J259)/(J259+[2]Constants!$B$23)))-0.8*(H259-J259))/[2]Constants!$B$25))</f>
        <v>11.030460515688493</v>
      </c>
      <c r="H259" s="261">
        <v>15.5</v>
      </c>
      <c r="I259" s="251">
        <v>15.5</v>
      </c>
      <c r="J259" s="251">
        <v>13.1</v>
      </c>
      <c r="K259" s="251">
        <v>19.899999999999999</v>
      </c>
      <c r="L259" s="250" t="s">
        <v>103</v>
      </c>
      <c r="M259" s="43">
        <f t="shared" si="10"/>
        <v>15.149999999999999</v>
      </c>
      <c r="N259" s="251">
        <v>10.4</v>
      </c>
      <c r="O259" s="251">
        <v>8</v>
      </c>
      <c r="P259" s="251">
        <v>10.3</v>
      </c>
      <c r="Q259" s="250" t="s">
        <v>103</v>
      </c>
      <c r="R259" s="251">
        <v>20</v>
      </c>
      <c r="S259" s="251">
        <v>19</v>
      </c>
      <c r="T259" s="251">
        <v>4.5999999999999996</v>
      </c>
      <c r="U259" s="262">
        <v>1</v>
      </c>
      <c r="V259" s="256"/>
      <c r="W259" s="251">
        <v>8.3000000000000007</v>
      </c>
      <c r="X259" s="262">
        <v>8</v>
      </c>
      <c r="Y259" s="262">
        <v>3</v>
      </c>
      <c r="Z259" s="263" t="s">
        <v>82</v>
      </c>
      <c r="AA259" s="264">
        <v>10</v>
      </c>
      <c r="AB259" s="259">
        <f>AA259-(AA259*[2]Constants!$B$30)</f>
        <v>7</v>
      </c>
    </row>
    <row r="260" spans="1:28" ht="14.5">
      <c r="A260" s="394">
        <f t="shared" si="9"/>
        <v>45183</v>
      </c>
      <c r="B260" s="261">
        <v>73.400000000000006</v>
      </c>
      <c r="C260" s="265">
        <v>30.027999999999999</v>
      </c>
      <c r="D260" s="245">
        <f>C260*[2]Constants!$B$19</f>
        <v>1016.8681919999999</v>
      </c>
      <c r="E260" s="245" t="s">
        <v>103</v>
      </c>
      <c r="F260" s="247">
        <f>100*((([2]Constants!$B$25*EXP(([2]Constants!$B$24*J260)/(J260+[2]Constants!$B$23)))-0.8*(H260-J260))/([2]Constants!$B$25*EXP(([2]Constants!$B$24*H260)/(H260+[2]Constants!$B$23))))</f>
        <v>64.246648804857259</v>
      </c>
      <c r="G260" s="248">
        <f>([2]Constants!$B$23*LN((([2]Constants!$B$25*EXP(([2]Constants!$B$24*J260)/(J260+[2]Constants!$B$23)))-0.8*(H260-J260))/[2]Constants!$B$25))/([2]Constants!$B$24-LN((([2]Constants!$B$25*EXP(([2]Constants!$B$24*J260)/(J260+[2]Constants!$B$23)))-0.8*(H260-J260))/[2]Constants!$B$25))</f>
        <v>11.626524583839254</v>
      </c>
      <c r="H260" s="261">
        <v>18.5</v>
      </c>
      <c r="I260" s="251">
        <v>18.600000000000001</v>
      </c>
      <c r="J260" s="251">
        <v>14.7</v>
      </c>
      <c r="K260" s="251">
        <v>21.8</v>
      </c>
      <c r="L260" s="250" t="s">
        <v>103</v>
      </c>
      <c r="M260" s="43">
        <f t="shared" si="10"/>
        <v>16.8</v>
      </c>
      <c r="N260" s="251">
        <v>11.8</v>
      </c>
      <c r="O260" s="251">
        <v>8.3000000000000007</v>
      </c>
      <c r="P260" s="251">
        <v>10.6</v>
      </c>
      <c r="Q260" s="250" t="s">
        <v>103</v>
      </c>
      <c r="R260" s="251">
        <v>19.5</v>
      </c>
      <c r="S260" s="251">
        <v>18.899999999999999</v>
      </c>
      <c r="T260" s="251" t="s">
        <v>93</v>
      </c>
      <c r="U260" s="262">
        <v>0</v>
      </c>
      <c r="V260" s="256"/>
      <c r="W260" s="251">
        <v>4.5999999999999996</v>
      </c>
      <c r="X260" s="262">
        <v>8</v>
      </c>
      <c r="Y260" s="262">
        <v>4</v>
      </c>
      <c r="Z260" s="263" t="s">
        <v>87</v>
      </c>
      <c r="AA260" s="264">
        <v>10</v>
      </c>
      <c r="AB260" s="259">
        <f>AA260-(AA260*[2]Constants!$B$30)</f>
        <v>7</v>
      </c>
    </row>
    <row r="261" spans="1:28" ht="14.5">
      <c r="A261" s="394">
        <f t="shared" si="9"/>
        <v>45184</v>
      </c>
      <c r="B261" s="279">
        <v>71.900000000000006</v>
      </c>
      <c r="C261" s="265">
        <v>29.852</v>
      </c>
      <c r="D261" s="245">
        <f>C261*[2]Constants!$B$19</f>
        <v>1010.9081279999999</v>
      </c>
      <c r="E261" s="246" t="s">
        <v>103</v>
      </c>
      <c r="F261" s="247">
        <f>100*((([2]Constants!$B$25*EXP(([2]Constants!$B$24*J261)/(J261+[2]Constants!$B$23)))-0.8*(H261-J261))/([2]Constants!$B$25*EXP(([2]Constants!$B$24*H261)/(H261+[2]Constants!$B$23))))</f>
        <v>79.015641386968838</v>
      </c>
      <c r="G261" s="248">
        <f>([2]Constants!$B$23*LN((([2]Constants!$B$25*EXP(([2]Constants!$B$24*J261)/(J261+[2]Constants!$B$23)))-0.8*(H261-J261))/[2]Constants!$B$25))/([2]Constants!$B$24-LN((([2]Constants!$B$25*EXP(([2]Constants!$B$24*J261)/(J261+[2]Constants!$B$23)))-0.8*(H261-J261))/[2]Constants!$B$25))</f>
        <v>13.726416085124111</v>
      </c>
      <c r="H261" s="279">
        <v>17.399999999999999</v>
      </c>
      <c r="I261" s="277">
        <v>17.7</v>
      </c>
      <c r="J261" s="277">
        <v>15.3</v>
      </c>
      <c r="K261" s="277">
        <v>23.8</v>
      </c>
      <c r="L261" s="250" t="s">
        <v>103</v>
      </c>
      <c r="M261" s="43">
        <f t="shared" si="10"/>
        <v>17.399999999999999</v>
      </c>
      <c r="N261" s="277">
        <v>11</v>
      </c>
      <c r="O261" s="246">
        <v>7.5</v>
      </c>
      <c r="P261" s="246">
        <v>10.6</v>
      </c>
      <c r="Q261" s="250" t="s">
        <v>103</v>
      </c>
      <c r="R261" s="277">
        <v>19</v>
      </c>
      <c r="S261" s="277">
        <v>19.100000000000001</v>
      </c>
      <c r="T261" s="277" t="s">
        <v>93</v>
      </c>
      <c r="U261" s="280">
        <v>1</v>
      </c>
      <c r="V261" s="281"/>
      <c r="W261" s="277">
        <f>6.5+AC261</f>
        <v>6.5</v>
      </c>
      <c r="X261" s="280">
        <v>7</v>
      </c>
      <c r="Y261" s="280">
        <v>2</v>
      </c>
      <c r="Z261" s="282" t="s">
        <v>109</v>
      </c>
      <c r="AA261" s="283">
        <v>3</v>
      </c>
      <c r="AB261" s="259">
        <f>AA261-(AA261*[2]Constants!$B$30)</f>
        <v>2.1</v>
      </c>
    </row>
    <row r="262" spans="1:28" ht="14.5">
      <c r="A262" s="394">
        <f t="shared" ref="A262:A325" si="11">A261+1</f>
        <v>45185</v>
      </c>
      <c r="B262" s="279">
        <v>72.8</v>
      </c>
      <c r="C262" s="265">
        <v>29.803999999999998</v>
      </c>
      <c r="D262" s="245">
        <f>C262*[2]Constants!$B$19</f>
        <v>1009.2826559999999</v>
      </c>
      <c r="E262" s="245" t="s">
        <v>103</v>
      </c>
      <c r="F262" s="247">
        <f>100*((([2]Constants!$B$25*EXP(([2]Constants!$B$24*J262)/(J262+[2]Constants!$B$23)))-0.8*(H262-J262))/([2]Constants!$B$25*EXP(([2]Constants!$B$24*H262)/(H262+[2]Constants!$B$23))))</f>
        <v>88.58844879772623</v>
      </c>
      <c r="G262" s="248">
        <f>([2]Constants!$B$23*LN((([2]Constants!$B$25*EXP(([2]Constants!$B$24*J262)/(J262+[2]Constants!$B$23)))-0.8*(H262-J262))/[2]Constants!$B$25))/([2]Constants!$B$24-LN((([2]Constants!$B$25*EXP(([2]Constants!$B$24*J262)/(J262+[2]Constants!$B$23)))-0.8*(H262-J262))/[2]Constants!$B$25))</f>
        <v>14.807225735720023</v>
      </c>
      <c r="H262" s="261">
        <v>16.7</v>
      </c>
      <c r="I262" s="251">
        <v>16.600000000000001</v>
      </c>
      <c r="J262" s="251">
        <v>15.6</v>
      </c>
      <c r="K262" s="277">
        <v>22.4</v>
      </c>
      <c r="L262" s="250" t="s">
        <v>103</v>
      </c>
      <c r="M262" s="43">
        <f t="shared" si="10"/>
        <v>16.600000000000001</v>
      </c>
      <c r="N262" s="251">
        <v>10.8</v>
      </c>
      <c r="O262" s="251">
        <v>9.1</v>
      </c>
      <c r="P262" s="251">
        <v>10.8</v>
      </c>
      <c r="Q262" s="250" t="s">
        <v>103</v>
      </c>
      <c r="R262" s="251">
        <v>18.899999999999999</v>
      </c>
      <c r="S262" s="251">
        <v>18.8</v>
      </c>
      <c r="T262" s="277" t="s">
        <v>91</v>
      </c>
      <c r="U262" s="262">
        <v>1</v>
      </c>
      <c r="V262" s="256"/>
      <c r="W262" s="277">
        <v>1.7</v>
      </c>
      <c r="X262" s="262">
        <v>7</v>
      </c>
      <c r="Y262" s="262">
        <v>8</v>
      </c>
      <c r="Z262" s="263" t="s">
        <v>82</v>
      </c>
      <c r="AA262" s="251">
        <v>10</v>
      </c>
      <c r="AB262" s="259">
        <f>AA262-(AA262*[2]Constants!$B$30)</f>
        <v>7</v>
      </c>
    </row>
    <row r="263" spans="1:28" ht="14.5">
      <c r="A263" s="394">
        <f t="shared" si="11"/>
        <v>45186</v>
      </c>
      <c r="B263" s="279">
        <v>72.400000000000006</v>
      </c>
      <c r="C263" s="278">
        <v>29.756</v>
      </c>
      <c r="D263" s="245">
        <f>C263*[2]Constants!$B$19</f>
        <v>1007.6571839999999</v>
      </c>
      <c r="E263" s="246" t="s">
        <v>103</v>
      </c>
      <c r="F263" s="247">
        <f>100*((([2]Constants!$B$25*EXP(([2]Constants!$B$24*J263)/(J263+[2]Constants!$B$23)))-0.8*(H263-J263))/([2]Constants!$B$25*EXP(([2]Constants!$B$24*H263)/(H263+[2]Constants!$B$23))))</f>
        <v>89.701931412746575</v>
      </c>
      <c r="G263" s="248">
        <f>([2]Constants!$B$23*LN((([2]Constants!$B$25*EXP(([2]Constants!$B$24*J263)/(J263+[2]Constants!$B$23)))-0.8*(H263-J263))/[2]Constants!$B$25))/([2]Constants!$B$24-LN((([2]Constants!$B$25*EXP(([2]Constants!$B$24*J263)/(J263+[2]Constants!$B$23)))-0.8*(H263-J263))/[2]Constants!$B$25))</f>
        <v>15.297163683589396</v>
      </c>
      <c r="H263" s="279">
        <v>17</v>
      </c>
      <c r="I263" s="277">
        <v>17.100000000000001</v>
      </c>
      <c r="J263" s="283">
        <v>16</v>
      </c>
      <c r="K263" s="251">
        <v>20</v>
      </c>
      <c r="L263" s="250" t="s">
        <v>103</v>
      </c>
      <c r="M263" s="43">
        <f t="shared" si="10"/>
        <v>17.399999999999999</v>
      </c>
      <c r="N263" s="279">
        <v>14.8</v>
      </c>
      <c r="O263" s="277">
        <v>13.4</v>
      </c>
      <c r="P263" s="277">
        <v>14.6</v>
      </c>
      <c r="Q263" s="250" t="s">
        <v>103</v>
      </c>
      <c r="R263" s="277">
        <v>18.600000000000001</v>
      </c>
      <c r="S263" s="283">
        <v>18.7</v>
      </c>
      <c r="T263" s="251">
        <v>31.5</v>
      </c>
      <c r="U263" s="284">
        <v>1</v>
      </c>
      <c r="V263" s="256"/>
      <c r="W263" s="251">
        <v>1.7</v>
      </c>
      <c r="X263" s="285">
        <v>8</v>
      </c>
      <c r="Y263" s="280">
        <v>7</v>
      </c>
      <c r="Z263" s="282" t="s">
        <v>82</v>
      </c>
      <c r="AA263" s="283">
        <v>6</v>
      </c>
      <c r="AB263" s="259">
        <f>AA263-(AA263*[2]Constants!$B$30)</f>
        <v>4.2</v>
      </c>
    </row>
    <row r="264" spans="1:28" ht="14.5">
      <c r="A264" s="394">
        <f t="shared" si="11"/>
        <v>45187</v>
      </c>
      <c r="B264" s="261">
        <v>72</v>
      </c>
      <c r="C264" s="265">
        <v>29.364000000000001</v>
      </c>
      <c r="D264" s="245">
        <f>C264*[2]Constants!$B$19</f>
        <v>994.38249599999995</v>
      </c>
      <c r="E264" s="245" t="s">
        <v>103</v>
      </c>
      <c r="F264" s="247">
        <f>100*((([2]Constants!$B$25*EXP(([2]Constants!$B$24*J264)/(J264+[2]Constants!$B$23)))-0.8*(H264-J264))/([2]Constants!$B$25*EXP(([2]Constants!$B$24*H264)/(H264+[2]Constants!$B$23))))</f>
        <v>84.861924226456722</v>
      </c>
      <c r="G264" s="248">
        <f>([2]Constants!$B$23*LN((([2]Constants!$B$25*EXP(([2]Constants!$B$24*J264)/(J264+[2]Constants!$B$23)))-0.8*(H264-J264))/[2]Constants!$B$25))/([2]Constants!$B$24-LN((([2]Constants!$B$25*EXP(([2]Constants!$B$24*J264)/(J264+[2]Constants!$B$23)))-0.8*(H264-J264))/[2]Constants!$B$25))</f>
        <v>14.828786403372817</v>
      </c>
      <c r="H264" s="279">
        <v>17.399999999999999</v>
      </c>
      <c r="I264" s="277">
        <v>17.5</v>
      </c>
      <c r="J264" s="277">
        <v>15.9</v>
      </c>
      <c r="K264" s="286">
        <v>18.600000000000001</v>
      </c>
      <c r="L264" s="250" t="s">
        <v>103</v>
      </c>
      <c r="M264" s="43">
        <f t="shared" si="10"/>
        <v>16.399999999999999</v>
      </c>
      <c r="N264" s="277">
        <v>14.2</v>
      </c>
      <c r="O264" s="277">
        <v>12.2</v>
      </c>
      <c r="P264" s="277">
        <v>13.5</v>
      </c>
      <c r="Q264" s="250" t="s">
        <v>103</v>
      </c>
      <c r="R264" s="277">
        <v>18.3</v>
      </c>
      <c r="S264" s="283">
        <v>18.5</v>
      </c>
      <c r="T264" s="251">
        <v>0.3</v>
      </c>
      <c r="U264" s="287">
        <v>1</v>
      </c>
      <c r="V264" s="288"/>
      <c r="W264" s="286">
        <v>4.7</v>
      </c>
      <c r="X264" s="280">
        <v>8</v>
      </c>
      <c r="Y264" s="280">
        <v>8</v>
      </c>
      <c r="Z264" s="282" t="s">
        <v>87</v>
      </c>
      <c r="AA264" s="277">
        <v>9</v>
      </c>
      <c r="AB264" s="259">
        <f>AA264-(AA264*[2]Constants!$B$30)</f>
        <v>6.3000000000000007</v>
      </c>
    </row>
    <row r="265" spans="1:28" ht="14.5">
      <c r="A265" s="394">
        <f t="shared" si="11"/>
        <v>45188</v>
      </c>
      <c r="B265" s="279">
        <v>69.8</v>
      </c>
      <c r="C265" s="278">
        <v>29.539000000000001</v>
      </c>
      <c r="D265" s="245">
        <f>C265*[2]Constants!$B$19</f>
        <v>1000.3086959999999</v>
      </c>
      <c r="E265" s="246" t="s">
        <v>103</v>
      </c>
      <c r="F265" s="247">
        <f>100*((([2]Constants!$B$25*EXP(([2]Constants!$B$24*J265)/(J265+[2]Constants!$B$23)))-0.8*(H265-J265))/([2]Constants!$B$25*EXP(([2]Constants!$B$24*H265)/(H265+[2]Constants!$B$23))))</f>
        <v>72.172558387823344</v>
      </c>
      <c r="G265" s="248">
        <f>([2]Constants!$B$23*LN((([2]Constants!$B$25*EXP(([2]Constants!$B$24*J265)/(J265+[2]Constants!$B$23)))-0.8*(H265-J265))/[2]Constants!$B$25))/([2]Constants!$B$24-LN((([2]Constants!$B$25*EXP(([2]Constants!$B$24*J265)/(J265+[2]Constants!$B$23)))-0.8*(H265-J265))/[2]Constants!$B$25))</f>
        <v>12.148580864349761</v>
      </c>
      <c r="H265" s="261">
        <v>17.2</v>
      </c>
      <c r="I265" s="251">
        <v>17.3</v>
      </c>
      <c r="J265" s="251">
        <v>14.4</v>
      </c>
      <c r="K265" s="245">
        <v>19.399999999999999</v>
      </c>
      <c r="L265" s="250" t="s">
        <v>103</v>
      </c>
      <c r="M265" s="43">
        <f t="shared" si="10"/>
        <v>15.799999999999999</v>
      </c>
      <c r="N265" s="251">
        <v>12.2</v>
      </c>
      <c r="O265" s="251">
        <v>10.8</v>
      </c>
      <c r="P265" s="251">
        <v>11.5</v>
      </c>
      <c r="Q265" s="250" t="s">
        <v>103</v>
      </c>
      <c r="R265" s="251">
        <v>17.7</v>
      </c>
      <c r="S265" s="251">
        <v>18.3</v>
      </c>
      <c r="T265" s="291">
        <v>0.2</v>
      </c>
      <c r="U265" s="262">
        <v>1</v>
      </c>
      <c r="V265" s="256"/>
      <c r="W265" s="251">
        <v>5</v>
      </c>
      <c r="X265" s="262">
        <v>8</v>
      </c>
      <c r="Y265" s="262">
        <v>2</v>
      </c>
      <c r="Z265" s="263" t="s">
        <v>82</v>
      </c>
      <c r="AA265" s="251">
        <v>20</v>
      </c>
      <c r="AB265" s="259">
        <f>AA265-(AA265*[2]Constants!$B$30)</f>
        <v>14</v>
      </c>
    </row>
    <row r="266" spans="1:28" ht="14.5">
      <c r="A266" s="394">
        <f t="shared" si="11"/>
        <v>45189</v>
      </c>
      <c r="B266" s="389">
        <v>69.8</v>
      </c>
      <c r="C266" s="292">
        <v>29.353999999999999</v>
      </c>
      <c r="D266" s="245">
        <f>C266*[2]Constants!$B$19</f>
        <v>994.04385599999989</v>
      </c>
      <c r="E266" s="245" t="s">
        <v>103</v>
      </c>
      <c r="F266" s="247">
        <f>100*((([2]Constants!$B$25*EXP(([2]Constants!$B$24*J266)/(J266+[2]Constants!$B$23)))-0.8*(H266-J266))/([2]Constants!$B$25*EXP(([2]Constants!$B$24*H266)/(H266+[2]Constants!$B$23))))</f>
        <v>78.182458136257353</v>
      </c>
      <c r="G266" s="248">
        <f>([2]Constants!$B$23*LN((([2]Constants!$B$25*EXP(([2]Constants!$B$24*J266)/(J266+[2]Constants!$B$23)))-0.8*(H266-J266))/[2]Constants!$B$25))/([2]Constants!$B$24-LN((([2]Constants!$B$25*EXP(([2]Constants!$B$24*J266)/(J266+[2]Constants!$B$23)))-0.8*(H266-J266))/[2]Constants!$B$25))</f>
        <v>13.757665191417725</v>
      </c>
      <c r="H266" s="267">
        <v>17.600000000000001</v>
      </c>
      <c r="I266" s="266">
        <v>17.7</v>
      </c>
      <c r="J266" s="266">
        <v>15.4</v>
      </c>
      <c r="K266" s="251">
        <v>18.100000000000001</v>
      </c>
      <c r="L266" s="250" t="s">
        <v>103</v>
      </c>
      <c r="M266" s="43">
        <f t="shared" si="10"/>
        <v>17.25</v>
      </c>
      <c r="N266" s="266">
        <v>16.399999999999999</v>
      </c>
      <c r="O266" s="266">
        <v>14.9</v>
      </c>
      <c r="P266" s="245">
        <v>15.6</v>
      </c>
      <c r="Q266" s="250" t="s">
        <v>103</v>
      </c>
      <c r="R266" s="266">
        <v>17.7</v>
      </c>
      <c r="S266" s="245">
        <v>18.3</v>
      </c>
      <c r="T266" s="251">
        <v>21.8</v>
      </c>
      <c r="U266" s="272">
        <v>1</v>
      </c>
      <c r="V266" s="274"/>
      <c r="W266" s="251">
        <v>0</v>
      </c>
      <c r="X266" s="266">
        <v>7</v>
      </c>
      <c r="Y266" s="266">
        <v>8</v>
      </c>
      <c r="Z266" s="293" t="s">
        <v>82</v>
      </c>
      <c r="AA266" s="245">
        <v>20</v>
      </c>
      <c r="AB266" s="259">
        <f>AA266-(AA266*[2]Constants!$B$30)</f>
        <v>14</v>
      </c>
    </row>
    <row r="267" spans="1:28" ht="14.5">
      <c r="A267" s="394">
        <f t="shared" si="11"/>
        <v>45190</v>
      </c>
      <c r="B267" s="297">
        <v>69.8</v>
      </c>
      <c r="C267" s="295">
        <v>29.27</v>
      </c>
      <c r="D267" s="245">
        <f>C267*[2]Constants!$B$19</f>
        <v>991.19927999999993</v>
      </c>
      <c r="E267" s="246" t="s">
        <v>103</v>
      </c>
      <c r="F267" s="247">
        <f>100*((([2]Constants!$B$25*EXP(([2]Constants!$B$24*J267)/(J267+[2]Constants!$B$23)))-0.8*(H267-J267))/([2]Constants!$B$25*EXP(([2]Constants!$B$24*H267)/(H267+[2]Constants!$B$23))))</f>
        <v>82.007208119797653</v>
      </c>
      <c r="G267" s="248">
        <f>([2]Constants!$B$23*LN((([2]Constants!$B$25*EXP(([2]Constants!$B$24*J267)/(J267+[2]Constants!$B$23)))-0.8*(H267-J267))/[2]Constants!$B$25))/([2]Constants!$B$24-LN((([2]Constants!$B$25*EXP(([2]Constants!$B$24*J267)/(J267+[2]Constants!$B$23)))-0.8*(H267-J267))/[2]Constants!$B$25))</f>
        <v>10.881306816166065</v>
      </c>
      <c r="H267" s="297">
        <v>13.9</v>
      </c>
      <c r="I267" s="252">
        <v>14</v>
      </c>
      <c r="J267" s="252">
        <v>12.3</v>
      </c>
      <c r="K267" s="251">
        <v>17.5</v>
      </c>
      <c r="L267" s="250" t="s">
        <v>103</v>
      </c>
      <c r="M267" s="43">
        <f t="shared" si="10"/>
        <v>13.45</v>
      </c>
      <c r="N267" s="252">
        <v>9.4</v>
      </c>
      <c r="O267" s="252">
        <v>7</v>
      </c>
      <c r="P267" s="252">
        <v>8.4</v>
      </c>
      <c r="Q267" s="250" t="s">
        <v>103</v>
      </c>
      <c r="R267" s="252">
        <v>17.2</v>
      </c>
      <c r="S267" s="252">
        <v>18</v>
      </c>
      <c r="T267" s="252">
        <v>2.2999999999999998</v>
      </c>
      <c r="U267" s="299">
        <v>1</v>
      </c>
      <c r="V267" s="300"/>
      <c r="W267" s="298">
        <v>5</v>
      </c>
      <c r="X267" s="301">
        <v>8</v>
      </c>
      <c r="Y267" s="301">
        <v>1</v>
      </c>
      <c r="Z267" s="302" t="s">
        <v>82</v>
      </c>
      <c r="AA267" s="303">
        <v>9</v>
      </c>
      <c r="AB267" s="259">
        <f>AA267-(AA267*[2]Constants!$B$30)</f>
        <v>6.3000000000000007</v>
      </c>
    </row>
    <row r="268" spans="1:28" ht="14.5">
      <c r="A268" s="394">
        <f t="shared" si="11"/>
        <v>45191</v>
      </c>
      <c r="B268" s="261">
        <v>69.3</v>
      </c>
      <c r="C268" s="265">
        <v>29.4</v>
      </c>
      <c r="D268" s="245">
        <f>C268*[2]Constants!$B$19</f>
        <v>995.60159999999985</v>
      </c>
      <c r="E268" s="245" t="s">
        <v>103</v>
      </c>
      <c r="F268" s="247">
        <f>100*((([2]Constants!$B$25*EXP(([2]Constants!$B$24*J268)/(J268+[2]Constants!$B$23)))-0.8*(H268-J268))/([2]Constants!$B$25*EXP(([2]Constants!$B$24*H268)/(H268+[2]Constants!$B$23))))</f>
        <v>77.037739500843671</v>
      </c>
      <c r="G268" s="248">
        <f>([2]Constants!$B$23*LN((([2]Constants!$B$25*EXP(([2]Constants!$B$24*J268)/(J268+[2]Constants!$B$23)))-0.8*(H268-J268))/[2]Constants!$B$25))/([2]Constants!$B$24-LN((([2]Constants!$B$25*EXP(([2]Constants!$B$24*J268)/(J268+[2]Constants!$B$23)))-0.8*(H268-J268))/[2]Constants!$B$25))</f>
        <v>9.1689811174545035</v>
      </c>
      <c r="H268" s="261">
        <v>13.1</v>
      </c>
      <c r="I268" s="251">
        <v>13.3</v>
      </c>
      <c r="J268" s="251">
        <v>11.1</v>
      </c>
      <c r="K268" s="305">
        <v>16.899999999999999</v>
      </c>
      <c r="L268" s="250" t="s">
        <v>103</v>
      </c>
      <c r="M268" s="43">
        <f t="shared" si="10"/>
        <v>12.399999999999999</v>
      </c>
      <c r="N268" s="251">
        <v>7.9</v>
      </c>
      <c r="O268" s="251">
        <v>6.2</v>
      </c>
      <c r="P268" s="251">
        <v>7.8</v>
      </c>
      <c r="Q268" s="250" t="s">
        <v>103</v>
      </c>
      <c r="R268" s="251">
        <v>16.7</v>
      </c>
      <c r="S268" s="251">
        <v>17.899999999999999</v>
      </c>
      <c r="T268" s="251" t="s">
        <v>93</v>
      </c>
      <c r="U268" s="272">
        <v>1</v>
      </c>
      <c r="V268" s="262"/>
      <c r="W268" s="245">
        <v>5.7</v>
      </c>
      <c r="X268" s="272">
        <v>8</v>
      </c>
      <c r="Y268" s="272">
        <v>1</v>
      </c>
      <c r="Z268" s="263" t="s">
        <v>82</v>
      </c>
      <c r="AA268" s="264">
        <v>0</v>
      </c>
      <c r="AB268" s="259">
        <f>AA268-(AA268*[2]Constants!$B$30)</f>
        <v>0</v>
      </c>
    </row>
    <row r="269" spans="1:28" ht="14.5">
      <c r="A269" s="394">
        <f t="shared" si="11"/>
        <v>45192</v>
      </c>
      <c r="B269" s="261">
        <v>69.2</v>
      </c>
      <c r="C269" s="265">
        <v>29.827999999999999</v>
      </c>
      <c r="D269" s="245">
        <f>C269*[2]Constants!$B$19</f>
        <v>1010.0953919999999</v>
      </c>
      <c r="E269" s="246" t="s">
        <v>103</v>
      </c>
      <c r="F269" s="247">
        <f>100*((([2]Constants!$B$25*EXP(([2]Constants!$B$24*J269)/(J269+[2]Constants!$B$23)))-0.8*(H269-J269))/([2]Constants!$B$25*EXP(([2]Constants!$B$24*H269)/(H269+[2]Constants!$B$23))))</f>
        <v>63.232672318835895</v>
      </c>
      <c r="G269" s="248">
        <f>([2]Constants!$B$23*LN((([2]Constants!$B$25*EXP(([2]Constants!$B$24*J269)/(J269+[2]Constants!$B$23)))-0.8*(H269-J269))/[2]Constants!$B$25))/([2]Constants!$B$24-LN((([2]Constants!$B$25*EXP(([2]Constants!$B$24*J269)/(J269+[2]Constants!$B$23)))-0.8*(H269-J269))/[2]Constants!$B$25))</f>
        <v>6.5567330938911805</v>
      </c>
      <c r="H269" s="261">
        <v>13.4</v>
      </c>
      <c r="I269" s="251">
        <v>13.5</v>
      </c>
      <c r="J269" s="251">
        <v>10.1</v>
      </c>
      <c r="K269" s="251">
        <v>17.3</v>
      </c>
      <c r="L269" s="250" t="s">
        <v>103</v>
      </c>
      <c r="M269" s="43">
        <f t="shared" si="10"/>
        <v>12.15</v>
      </c>
      <c r="N269" s="251">
        <v>7</v>
      </c>
      <c r="O269" s="251">
        <v>5.3</v>
      </c>
      <c r="P269" s="251">
        <v>6.1</v>
      </c>
      <c r="Q269" s="250" t="s">
        <v>103</v>
      </c>
      <c r="R269" s="251">
        <v>16.100000000000001</v>
      </c>
      <c r="S269" s="251">
        <v>17.600000000000001</v>
      </c>
      <c r="T269" s="245" t="s">
        <v>91</v>
      </c>
      <c r="U269" s="272">
        <v>1</v>
      </c>
      <c r="V269" s="262"/>
      <c r="W269" s="251">
        <v>10.3</v>
      </c>
      <c r="X269" s="262">
        <v>8</v>
      </c>
      <c r="Y269" s="262">
        <v>0</v>
      </c>
      <c r="Z269" s="263" t="s">
        <v>82</v>
      </c>
      <c r="AA269" s="264">
        <v>6</v>
      </c>
      <c r="AB269" s="259">
        <f>AA269-(AA269*[2]Constants!$B$30)</f>
        <v>4.2</v>
      </c>
    </row>
    <row r="270" spans="1:28" ht="14.5">
      <c r="A270" s="394">
        <f t="shared" si="11"/>
        <v>45193</v>
      </c>
      <c r="B270" s="261">
        <v>69.2</v>
      </c>
      <c r="C270" s="265">
        <v>29.87</v>
      </c>
      <c r="D270" s="245">
        <f>C270*[2]Constants!$B$19</f>
        <v>1011.5176799999999</v>
      </c>
      <c r="E270" s="245" t="s">
        <v>103</v>
      </c>
      <c r="F270" s="247">
        <f>100*((([2]Constants!$B$25*EXP(([2]Constants!$B$24*J270)/(J270+[2]Constants!$B$23)))-0.8*(H270-J270))/([2]Constants!$B$25*EXP(([2]Constants!$B$24*H270)/(H270+[2]Constants!$B$23))))</f>
        <v>87.720033154827078</v>
      </c>
      <c r="G270" s="248">
        <f>([2]Constants!$B$23*LN((([2]Constants!$B$25*EXP(([2]Constants!$B$24*J270)/(J270+[2]Constants!$B$23)))-0.8*(H270-J270))/[2]Constants!$B$25))/([2]Constants!$B$24-LN((([2]Constants!$B$25*EXP(([2]Constants!$B$24*J270)/(J270+[2]Constants!$B$23)))-0.8*(H270-J270))/[2]Constants!$B$25))</f>
        <v>15.048281549041146</v>
      </c>
      <c r="H270" s="261">
        <v>17.100000000000001</v>
      </c>
      <c r="I270" s="251">
        <v>17.100000000000001</v>
      </c>
      <c r="J270" s="251">
        <v>15.9</v>
      </c>
      <c r="K270" s="251">
        <v>20.5</v>
      </c>
      <c r="L270" s="250" t="s">
        <v>103</v>
      </c>
      <c r="M270" s="43">
        <f t="shared" si="10"/>
        <v>15.95</v>
      </c>
      <c r="N270" s="251">
        <v>11.4</v>
      </c>
      <c r="O270" s="251">
        <v>9.3000000000000007</v>
      </c>
      <c r="P270" s="251">
        <v>11</v>
      </c>
      <c r="Q270" s="250" t="s">
        <v>103</v>
      </c>
      <c r="R270" s="251">
        <v>16.100000000000001</v>
      </c>
      <c r="S270" s="251">
        <v>17.5</v>
      </c>
      <c r="T270" s="245">
        <v>0.4</v>
      </c>
      <c r="U270" s="272">
        <v>1</v>
      </c>
      <c r="V270" s="262"/>
      <c r="W270" s="251">
        <v>4</v>
      </c>
      <c r="X270" s="262">
        <v>8</v>
      </c>
      <c r="Y270" s="262">
        <v>8</v>
      </c>
      <c r="Z270" s="263" t="s">
        <v>87</v>
      </c>
      <c r="AA270" s="264">
        <v>8</v>
      </c>
      <c r="AB270" s="259">
        <f>AA270-(AA270*[2]Constants!$B$30)</f>
        <v>5.6</v>
      </c>
    </row>
    <row r="271" spans="1:28" ht="14.5">
      <c r="A271" s="394">
        <f t="shared" si="11"/>
        <v>45194</v>
      </c>
      <c r="B271" s="261">
        <v>69</v>
      </c>
      <c r="C271" s="265">
        <v>29.93</v>
      </c>
      <c r="D271" s="245">
        <f>C271*[2]Constants!$B$19</f>
        <v>1013.5495199999999</v>
      </c>
      <c r="E271" s="246" t="s">
        <v>103</v>
      </c>
      <c r="F271" s="247">
        <f>100*((([2]Constants!$B$25*EXP(([2]Constants!$B$24*J271)/(J271+[2]Constants!$B$23)))-0.8*(H271-J271))/([2]Constants!$B$25*EXP(([2]Constants!$B$24*H271)/(H271+[2]Constants!$B$23))))</f>
        <v>71.397876504192865</v>
      </c>
      <c r="G271" s="248">
        <f>([2]Constants!$B$23*LN((([2]Constants!$B$25*EXP(([2]Constants!$B$24*J271)/(J271+[2]Constants!$B$23)))-0.8*(H271-J271))/[2]Constants!$B$25))/([2]Constants!$B$24-LN((([2]Constants!$B$25*EXP(([2]Constants!$B$24*J271)/(J271+[2]Constants!$B$23)))-0.8*(H271-J271))/[2]Constants!$B$25))</f>
        <v>12.176836602840986</v>
      </c>
      <c r="H271" s="261">
        <v>17.399999999999999</v>
      </c>
      <c r="I271" s="251">
        <v>17.600000000000001</v>
      </c>
      <c r="J271" s="251">
        <v>14.5</v>
      </c>
      <c r="K271" s="251">
        <v>21</v>
      </c>
      <c r="L271" s="250" t="s">
        <v>103</v>
      </c>
      <c r="M271" s="43">
        <f t="shared" si="10"/>
        <v>16.600000000000001</v>
      </c>
      <c r="N271" s="251">
        <v>12.2</v>
      </c>
      <c r="O271" s="251">
        <v>10.5</v>
      </c>
      <c r="P271" s="251">
        <v>11.8</v>
      </c>
      <c r="Q271" s="250" t="s">
        <v>103</v>
      </c>
      <c r="R271" s="251">
        <v>16.600000000000001</v>
      </c>
      <c r="S271" s="251">
        <v>17.399999999999999</v>
      </c>
      <c r="T271" s="251">
        <v>1.5</v>
      </c>
      <c r="U271" s="272">
        <v>1</v>
      </c>
      <c r="V271" s="262"/>
      <c r="W271" s="245">
        <v>8.9</v>
      </c>
      <c r="X271" s="262">
        <v>8</v>
      </c>
      <c r="Y271" s="262">
        <v>2</v>
      </c>
      <c r="Z271" s="263" t="s">
        <v>82</v>
      </c>
      <c r="AA271" s="264">
        <v>11</v>
      </c>
      <c r="AB271" s="259">
        <f>AA271-(AA271*[2]Constants!$B$30)</f>
        <v>7.7</v>
      </c>
    </row>
    <row r="272" spans="1:28" ht="14.5">
      <c r="A272" s="394">
        <f t="shared" si="11"/>
        <v>45195</v>
      </c>
      <c r="B272" s="261">
        <v>68.8</v>
      </c>
      <c r="C272" s="265">
        <v>29.821999999999999</v>
      </c>
      <c r="D272" s="245">
        <f>C272*[2]Constants!$B$19</f>
        <v>1009.8922079999999</v>
      </c>
      <c r="E272" s="245" t="s">
        <v>103</v>
      </c>
      <c r="F272" s="247">
        <f>100*((([2]Constants!$B$25*EXP(([2]Constants!$B$24*J272)/(J272+[2]Constants!$B$23)))-0.8*(H272-J272))/([2]Constants!$B$25*EXP(([2]Constants!$B$24*H272)/(H272+[2]Constants!$B$23))))</f>
        <v>91.634137302227842</v>
      </c>
      <c r="G272" s="248">
        <f>([2]Constants!$B$23*LN((([2]Constants!$B$25*EXP(([2]Constants!$B$24*J272)/(J272+[2]Constants!$B$23)))-0.8*(H272-J272))/[2]Constants!$B$25))/([2]Constants!$B$24-LN((([2]Constants!$B$25*EXP(([2]Constants!$B$24*J272)/(J272+[2]Constants!$B$23)))-0.8*(H272-J272))/[2]Constants!$B$25))</f>
        <v>15.233525550356717</v>
      </c>
      <c r="H272" s="261">
        <v>16.600000000000001</v>
      </c>
      <c r="I272" s="251">
        <v>16.600000000000001</v>
      </c>
      <c r="J272" s="251">
        <v>15.8</v>
      </c>
      <c r="K272" s="251">
        <v>20.9</v>
      </c>
      <c r="L272" s="250" t="s">
        <v>103</v>
      </c>
      <c r="M272" s="43">
        <f t="shared" si="10"/>
        <v>16.850000000000001</v>
      </c>
      <c r="N272" s="251">
        <v>12.8</v>
      </c>
      <c r="O272" s="251">
        <v>11.5</v>
      </c>
      <c r="P272" s="251">
        <v>11</v>
      </c>
      <c r="Q272" s="250" t="s">
        <v>103</v>
      </c>
      <c r="R272" s="251">
        <v>16.7</v>
      </c>
      <c r="S272" s="251">
        <v>17.100000000000001</v>
      </c>
      <c r="T272" s="251">
        <v>0</v>
      </c>
      <c r="U272" s="272">
        <v>1</v>
      </c>
      <c r="V272" s="262"/>
      <c r="W272" s="245">
        <v>5.3</v>
      </c>
      <c r="X272" s="262">
        <v>8</v>
      </c>
      <c r="Y272" s="262">
        <v>7</v>
      </c>
      <c r="Z272" s="263" t="s">
        <v>110</v>
      </c>
      <c r="AA272" s="264">
        <v>7</v>
      </c>
      <c r="AB272" s="259">
        <f>AA272-(AA272*[2]Constants!$B$30)</f>
        <v>4.9000000000000004</v>
      </c>
    </row>
    <row r="273" spans="1:28" ht="14.5">
      <c r="A273" s="394">
        <f t="shared" si="11"/>
        <v>45196</v>
      </c>
      <c r="B273" s="261">
        <v>68.400000000000006</v>
      </c>
      <c r="C273" s="265">
        <v>29.84</v>
      </c>
      <c r="D273" s="245">
        <f>C273*[2]Constants!$B$19</f>
        <v>1010.5017599999999</v>
      </c>
      <c r="E273" s="246" t="s">
        <v>103</v>
      </c>
      <c r="F273" s="247">
        <f>100*((([2]Constants!$B$25*EXP(([2]Constants!$B$24*J273)/(J273+[2]Constants!$B$23)))-0.8*(H273-J273))/([2]Constants!$B$25*EXP(([2]Constants!$B$24*H273)/(H273+[2]Constants!$B$23))))</f>
        <v>92.577986513721441</v>
      </c>
      <c r="G273" s="248">
        <f>([2]Constants!$B$23*LN((([2]Constants!$B$25*EXP(([2]Constants!$B$24*J273)/(J273+[2]Constants!$B$23)))-0.8*(H273-J273))/[2]Constants!$B$25))/([2]Constants!$B$24-LN((([2]Constants!$B$25*EXP(([2]Constants!$B$24*J273)/(J273+[2]Constants!$B$23)))-0.8*(H273-J273))/[2]Constants!$B$25))</f>
        <v>14.996761278439543</v>
      </c>
      <c r="H273" s="261">
        <v>16.2</v>
      </c>
      <c r="I273" s="251">
        <v>16.3</v>
      </c>
      <c r="J273" s="251">
        <v>15.5</v>
      </c>
      <c r="K273" s="251">
        <v>19.7</v>
      </c>
      <c r="L273" s="250" t="s">
        <v>103</v>
      </c>
      <c r="M273" s="43">
        <f t="shared" si="10"/>
        <v>16.149999999999999</v>
      </c>
      <c r="N273" s="251">
        <v>12.6</v>
      </c>
      <c r="O273" s="251">
        <v>10</v>
      </c>
      <c r="P273" s="251">
        <v>11.4</v>
      </c>
      <c r="Q273" s="250" t="s">
        <v>103</v>
      </c>
      <c r="R273" s="251">
        <v>16.600000000000001</v>
      </c>
      <c r="S273" s="251">
        <v>17.100000000000001</v>
      </c>
      <c r="T273" s="251" t="s">
        <v>91</v>
      </c>
      <c r="U273" s="272">
        <v>1</v>
      </c>
      <c r="V273" s="262"/>
      <c r="W273" s="245">
        <v>0</v>
      </c>
      <c r="X273" s="262">
        <v>7</v>
      </c>
      <c r="Y273" s="262">
        <v>7</v>
      </c>
      <c r="Z273" s="263" t="s">
        <v>82</v>
      </c>
      <c r="AA273" s="264">
        <v>10</v>
      </c>
      <c r="AB273" s="259">
        <f>AA273-(AA273*[2]Constants!$B$30)</f>
        <v>7</v>
      </c>
    </row>
    <row r="274" spans="1:28" ht="14.5">
      <c r="A274" s="394">
        <f t="shared" si="11"/>
        <v>45197</v>
      </c>
      <c r="B274" s="261">
        <v>70.900000000000006</v>
      </c>
      <c r="C274" s="265">
        <v>29.8</v>
      </c>
      <c r="D274" s="245">
        <f>C274*[2]Constants!$B$19</f>
        <v>1009.1471999999999</v>
      </c>
      <c r="E274" s="245" t="s">
        <v>103</v>
      </c>
      <c r="F274" s="247">
        <f>100*((([2]Constants!$B$25*EXP(([2]Constants!$B$24*J274)/(J274+[2]Constants!$B$23)))-0.8*(H274-J274))/([2]Constants!$B$25*EXP(([2]Constants!$B$24*H274)/(H274+[2]Constants!$B$23))))</f>
        <v>76.127506169643283</v>
      </c>
      <c r="G274" s="248">
        <f>([2]Constants!$B$23*LN((([2]Constants!$B$25*EXP(([2]Constants!$B$24*J274)/(J274+[2]Constants!$B$23)))-0.8*(H274-J274))/[2]Constants!$B$25))/([2]Constants!$B$24-LN((([2]Constants!$B$25*EXP(([2]Constants!$B$24*J274)/(J274+[2]Constants!$B$23)))-0.8*(H274-J274))/[2]Constants!$B$25))</f>
        <v>10.541780503513603</v>
      </c>
      <c r="H274" s="261">
        <v>14.7</v>
      </c>
      <c r="I274" s="251">
        <v>14.9</v>
      </c>
      <c r="J274" s="251">
        <v>12.5</v>
      </c>
      <c r="K274" s="251">
        <v>18.100000000000001</v>
      </c>
      <c r="L274" s="250" t="s">
        <v>103</v>
      </c>
      <c r="M274" s="43">
        <f t="shared" si="10"/>
        <v>16</v>
      </c>
      <c r="N274" s="251">
        <v>13.9</v>
      </c>
      <c r="O274" s="251">
        <v>12.3</v>
      </c>
      <c r="P274" s="251">
        <v>13.2</v>
      </c>
      <c r="Q274" s="250" t="s">
        <v>103</v>
      </c>
      <c r="R274" s="251">
        <v>16.600000000000001</v>
      </c>
      <c r="S274" s="251">
        <v>17</v>
      </c>
      <c r="T274" s="251">
        <v>9.8000000000000007</v>
      </c>
      <c r="U274" s="272">
        <v>1</v>
      </c>
      <c r="V274" s="262"/>
      <c r="W274" s="245">
        <v>0.5</v>
      </c>
      <c r="X274" s="262">
        <v>8</v>
      </c>
      <c r="Y274" s="262">
        <v>8</v>
      </c>
      <c r="Z274" s="263" t="s">
        <v>82</v>
      </c>
      <c r="AA274" s="264">
        <v>11</v>
      </c>
      <c r="AB274" s="259">
        <f>AA274-(AA274*[2]Constants!$B$30)</f>
        <v>7.7</v>
      </c>
    </row>
    <row r="275" spans="1:28" ht="14.5">
      <c r="A275" s="394">
        <f t="shared" si="11"/>
        <v>45198</v>
      </c>
      <c r="B275" s="261">
        <v>73.900000000000006</v>
      </c>
      <c r="C275" s="265">
        <v>29.946000000000002</v>
      </c>
      <c r="D275" s="245">
        <f>C275*[2]Constants!$B$19</f>
        <v>1014.0913439999999</v>
      </c>
      <c r="E275" s="246" t="s">
        <v>103</v>
      </c>
      <c r="F275" s="247">
        <f>100*((([2]Constants!$B$25*EXP(([2]Constants!$B$24*J275)/(J275+[2]Constants!$B$23)))-0.8*(H275-J275))/([2]Constants!$B$25*EXP(([2]Constants!$B$24*H275)/(H275+[2]Constants!$B$23))))</f>
        <v>81.346444601233202</v>
      </c>
      <c r="G275" s="248">
        <f>([2]Constants!$B$23*LN((([2]Constants!$B$25*EXP(([2]Constants!$B$24*J275)/(J275+[2]Constants!$B$23)))-0.8*(H275-J275))/[2]Constants!$B$25))/([2]Constants!$B$24-LN((([2]Constants!$B$25*EXP(([2]Constants!$B$24*J275)/(J275+[2]Constants!$B$23)))-0.8*(H275-J275))/[2]Constants!$B$25))</f>
        <v>11.442696112180014</v>
      </c>
      <c r="H275" s="261">
        <v>14.6</v>
      </c>
      <c r="I275" s="251">
        <v>14.8</v>
      </c>
      <c r="J275" s="251">
        <v>12.9</v>
      </c>
      <c r="K275" s="251">
        <v>19.100000000000001</v>
      </c>
      <c r="L275" s="250" t="s">
        <v>103</v>
      </c>
      <c r="M275" s="43">
        <f t="shared" si="10"/>
        <v>16</v>
      </c>
      <c r="N275" s="251">
        <v>12.9</v>
      </c>
      <c r="O275" s="251">
        <v>12.4</v>
      </c>
      <c r="P275" s="251">
        <v>12.6</v>
      </c>
      <c r="Q275" s="250" t="s">
        <v>103</v>
      </c>
      <c r="R275" s="251">
        <v>16.7</v>
      </c>
      <c r="S275" s="251">
        <v>17.100000000000001</v>
      </c>
      <c r="T275" s="251">
        <v>0.1</v>
      </c>
      <c r="U275" s="272">
        <v>1</v>
      </c>
      <c r="V275" s="262"/>
      <c r="W275" s="245">
        <v>9.3000000000000007</v>
      </c>
      <c r="X275" s="262">
        <v>8</v>
      </c>
      <c r="Y275" s="262">
        <v>1</v>
      </c>
      <c r="Z275" s="263" t="s">
        <v>89</v>
      </c>
      <c r="AA275" s="264">
        <v>10</v>
      </c>
      <c r="AB275" s="259">
        <f>AA275-(AA275*[2]Constants!$B$30)</f>
        <v>7</v>
      </c>
    </row>
    <row r="276" spans="1:28" ht="14.5">
      <c r="A276" s="394">
        <f t="shared" si="11"/>
        <v>45199</v>
      </c>
      <c r="B276" s="261">
        <v>74</v>
      </c>
      <c r="C276" s="265">
        <v>30.138000000000002</v>
      </c>
      <c r="D276" s="245">
        <f>C276*[2]Constants!$B$19</f>
        <v>1020.5932319999999</v>
      </c>
      <c r="E276" s="245" t="s">
        <v>103</v>
      </c>
      <c r="F276" s="247">
        <f>100*((([2]Constants!$B$25*EXP(([2]Constants!$B$24*J276)/(J276+[2]Constants!$B$23)))-0.8*(H276-J276))/([2]Constants!$B$25*EXP(([2]Constants!$B$24*H276)/(H276+[2]Constants!$B$23))))</f>
        <v>82.415873558911002</v>
      </c>
      <c r="G276" s="248">
        <f>([2]Constants!$B$23*LN((([2]Constants!$B$25*EXP(([2]Constants!$B$24*J276)/(J276+[2]Constants!$B$23)))-0.8*(H276-J276))/[2]Constants!$B$25))/([2]Constants!$B$24-LN((([2]Constants!$B$25*EXP(([2]Constants!$B$24*J276)/(J276+[2]Constants!$B$23)))-0.8*(H276-J276))/[2]Constants!$B$25))</f>
        <v>11.640147410147542</v>
      </c>
      <c r="H276" s="261">
        <v>14.6</v>
      </c>
      <c r="I276" s="251">
        <v>14.7</v>
      </c>
      <c r="J276" s="251">
        <v>13</v>
      </c>
      <c r="K276" s="251">
        <v>18.899999999999999</v>
      </c>
      <c r="L276" s="250" t="s">
        <v>103</v>
      </c>
      <c r="M276" s="43">
        <f t="shared" si="10"/>
        <v>14.25</v>
      </c>
      <c r="N276" s="251">
        <v>9.6</v>
      </c>
      <c r="O276" s="251">
        <v>6.8</v>
      </c>
      <c r="P276" s="251">
        <v>8.4</v>
      </c>
      <c r="Q276" s="250" t="s">
        <v>103</v>
      </c>
      <c r="R276" s="251">
        <v>15.9</v>
      </c>
      <c r="S276" s="251">
        <v>16.899999999999999</v>
      </c>
      <c r="T276" s="251" t="s">
        <v>91</v>
      </c>
      <c r="U276" s="272">
        <v>1</v>
      </c>
      <c r="V276" s="262"/>
      <c r="W276" s="245">
        <v>2.2999999999999998</v>
      </c>
      <c r="X276" s="262">
        <v>8</v>
      </c>
      <c r="Y276" s="262">
        <v>6</v>
      </c>
      <c r="Z276" s="263" t="s">
        <v>82</v>
      </c>
      <c r="AA276" s="264">
        <v>5</v>
      </c>
      <c r="AB276" s="259">
        <f>AA276-(AA276*[2]Constants!$B$30)</f>
        <v>3.5</v>
      </c>
    </row>
    <row r="277" spans="1:28" ht="14.5">
      <c r="A277" s="394">
        <f t="shared" si="11"/>
        <v>45200</v>
      </c>
      <c r="B277" s="390">
        <v>74.599999999999994</v>
      </c>
      <c r="C277" s="307">
        <v>29.981999999999999</v>
      </c>
      <c r="D277" s="308">
        <f>C277*[3]Constants!$B$19</f>
        <v>1015.3104479999998</v>
      </c>
      <c r="E277" s="309" t="s">
        <v>103</v>
      </c>
      <c r="F277" s="310">
        <f>100*((([3]Constants!$B$25*EXP(([3]Constants!$B$24*J277)/(J277+[3]Constants!$B$23)))-0.8*(H277-J277))/([3]Constants!$B$25*EXP(([3]Constants!$B$24*H277)/(H277+[3]Constants!$B$23))))</f>
        <v>87.39473263745073</v>
      </c>
      <c r="G277" s="311">
        <f>([3]Constants!$B$23*LN((([3]Constants!$B$25*EXP(([3]Constants!$B$24*J277)/(J277+[3]Constants!$B$23)))-0.8*(H277-J277))/[3]Constants!$B$25))/([3]Constants!$B$24-LN((([3]Constants!$B$25*EXP(([3]Constants!$B$24*J277)/(J277+[3]Constants!$B$23)))-0.8*(H277-J277))/[3]Constants!$B$25))</f>
        <v>16.761451296256311</v>
      </c>
      <c r="H277" s="312">
        <v>18.899999999999999</v>
      </c>
      <c r="I277" s="313">
        <v>18.899999999999999</v>
      </c>
      <c r="J277" s="314">
        <v>17.600000000000001</v>
      </c>
      <c r="K277" s="313">
        <v>21.3</v>
      </c>
      <c r="L277" s="313" t="s">
        <v>103</v>
      </c>
      <c r="M277" s="43">
        <f t="shared" si="10"/>
        <v>17.899999999999999</v>
      </c>
      <c r="N277" s="313">
        <v>14.5</v>
      </c>
      <c r="O277" s="315">
        <v>14.2</v>
      </c>
      <c r="P277" s="315">
        <v>14.8</v>
      </c>
      <c r="Q277" s="316" t="s">
        <v>103</v>
      </c>
      <c r="R277" s="316">
        <v>16.2</v>
      </c>
      <c r="S277" s="316">
        <v>16.8</v>
      </c>
      <c r="T277" s="317" t="s">
        <v>91</v>
      </c>
      <c r="U277" s="318">
        <v>1</v>
      </c>
      <c r="V277" s="319"/>
      <c r="W277" s="316">
        <v>0.75</v>
      </c>
      <c r="X277" s="318">
        <v>8</v>
      </c>
      <c r="Y277" s="318">
        <v>8</v>
      </c>
      <c r="Z277" s="320" t="s">
        <v>82</v>
      </c>
      <c r="AA277" s="321">
        <v>9</v>
      </c>
      <c r="AB277" s="322">
        <f>AA277-(AA277*[3]Constants!$B$30)</f>
        <v>6.3000000000000007</v>
      </c>
    </row>
    <row r="278" spans="1:28" ht="14.5">
      <c r="A278" s="394">
        <f t="shared" si="11"/>
        <v>45201</v>
      </c>
      <c r="B278" s="391">
        <v>75.5</v>
      </c>
      <c r="C278" s="323">
        <v>29.95</v>
      </c>
      <c r="D278" s="324">
        <v>1014.2</v>
      </c>
      <c r="E278" s="325" t="s">
        <v>103</v>
      </c>
      <c r="F278" s="326">
        <v>90.8</v>
      </c>
      <c r="G278" s="327">
        <v>15.7</v>
      </c>
      <c r="H278" s="328">
        <v>17.2</v>
      </c>
      <c r="I278" s="329">
        <v>17.100000000000001</v>
      </c>
      <c r="J278" s="329">
        <v>16.3</v>
      </c>
      <c r="K278" s="329">
        <v>18</v>
      </c>
      <c r="L278" s="323" t="s">
        <v>103</v>
      </c>
      <c r="M278" s="43">
        <f t="shared" si="10"/>
        <v>17</v>
      </c>
      <c r="N278" s="329">
        <v>16</v>
      </c>
      <c r="O278" s="329">
        <v>14.4</v>
      </c>
      <c r="P278" s="329">
        <v>15.3</v>
      </c>
      <c r="Q278" s="329" t="s">
        <v>103</v>
      </c>
      <c r="R278" s="329">
        <v>16.899999999999999</v>
      </c>
      <c r="S278" s="329">
        <v>16.8</v>
      </c>
      <c r="T278" s="324">
        <v>4.4000000000000004</v>
      </c>
      <c r="U278" s="329">
        <v>1</v>
      </c>
      <c r="V278" s="329"/>
      <c r="W278" s="329">
        <v>0</v>
      </c>
      <c r="X278" s="329">
        <v>4</v>
      </c>
      <c r="Y278" s="329">
        <v>9</v>
      </c>
      <c r="Z278" s="329">
        <v>53</v>
      </c>
      <c r="AA278" s="330">
        <v>0</v>
      </c>
      <c r="AB278" s="331">
        <v>0</v>
      </c>
    </row>
    <row r="279" spans="1:28" ht="14.5">
      <c r="A279" s="394">
        <f t="shared" si="11"/>
        <v>45202</v>
      </c>
      <c r="B279" s="391">
        <v>75.400000000000006</v>
      </c>
      <c r="C279" s="329">
        <v>29.994</v>
      </c>
      <c r="D279" s="324">
        <v>1015.7</v>
      </c>
      <c r="E279" s="325" t="s">
        <v>103</v>
      </c>
      <c r="F279" s="326">
        <v>78.5</v>
      </c>
      <c r="G279" s="327">
        <v>11.4</v>
      </c>
      <c r="H279" s="328">
        <v>15.1</v>
      </c>
      <c r="I279" s="329">
        <v>15.2</v>
      </c>
      <c r="J279" s="324">
        <v>13.1</v>
      </c>
      <c r="K279" s="329">
        <v>18.5</v>
      </c>
      <c r="L279" s="323" t="s">
        <v>103</v>
      </c>
      <c r="M279" s="43">
        <f t="shared" si="10"/>
        <v>14.7</v>
      </c>
      <c r="N279" s="329">
        <v>10.9</v>
      </c>
      <c r="O279" s="329">
        <v>11.8</v>
      </c>
      <c r="P279" s="329">
        <v>11.1</v>
      </c>
      <c r="Q279" s="329" t="s">
        <v>103</v>
      </c>
      <c r="R279" s="329">
        <v>16.2</v>
      </c>
      <c r="S279" s="329">
        <v>16.8</v>
      </c>
      <c r="T279" s="324">
        <v>0</v>
      </c>
      <c r="U279" s="329">
        <v>1</v>
      </c>
      <c r="V279" s="329"/>
      <c r="W279" s="329">
        <v>3.4</v>
      </c>
      <c r="X279" s="329">
        <v>8</v>
      </c>
      <c r="Y279" s="329">
        <v>3</v>
      </c>
      <c r="Z279" s="329">
        <v>2</v>
      </c>
      <c r="AA279" s="330">
        <v>7</v>
      </c>
      <c r="AB279" s="331">
        <v>4.9000000000000004</v>
      </c>
    </row>
    <row r="280" spans="1:28" ht="14.5">
      <c r="A280" s="394">
        <f t="shared" si="11"/>
        <v>45203</v>
      </c>
      <c r="B280" s="362">
        <v>75.3</v>
      </c>
      <c r="C280" s="332">
        <v>30.202000000000002</v>
      </c>
      <c r="D280" s="308">
        <f>C280*[3]Constants!$B$19</f>
        <v>1022.760528</v>
      </c>
      <c r="E280" s="308" t="s">
        <v>103</v>
      </c>
      <c r="F280" s="310">
        <f>100*((([3]Constants!$B$25*EXP(([3]Constants!$B$24*J280)/(J280+[3]Constants!$B$23)))-0.8*(H280-J280))/([3]Constants!$B$25*EXP(([3]Constants!$B$24*H280)/(H280+[3]Constants!$B$23))))</f>
        <v>83.161130453839434</v>
      </c>
      <c r="G280" s="311">
        <f>([3]Constants!$B$23*LN((([3]Constants!$B$25*EXP(([3]Constants!$B$24*J280)/(J280+[3]Constants!$B$23)))-0.8*(H280-J280))/[3]Constants!$B$25))/([3]Constants!$B$24-LN((([3]Constants!$B$25*EXP(([3]Constants!$B$24*J280)/(J280+[3]Constants!$B$23)))-0.8*(H280-J280))/[3]Constants!$B$25))</f>
        <v>11.189456227715489</v>
      </c>
      <c r="H280" s="333">
        <v>14</v>
      </c>
      <c r="I280" s="333">
        <v>14.1</v>
      </c>
      <c r="J280" s="308">
        <v>12.5</v>
      </c>
      <c r="K280" s="314">
        <v>17.2</v>
      </c>
      <c r="L280" s="313" t="s">
        <v>103</v>
      </c>
      <c r="M280" s="43">
        <f t="shared" si="10"/>
        <v>13.95</v>
      </c>
      <c r="N280" s="269">
        <v>10.7</v>
      </c>
      <c r="O280" s="269">
        <v>7.9</v>
      </c>
      <c r="P280" s="269">
        <v>9.4</v>
      </c>
      <c r="Q280" s="314" t="s">
        <v>103</v>
      </c>
      <c r="R280" s="308">
        <v>15.9</v>
      </c>
      <c r="S280" s="314">
        <v>16.7</v>
      </c>
      <c r="T280" s="308">
        <v>0</v>
      </c>
      <c r="U280" s="334">
        <v>1</v>
      </c>
      <c r="V280" s="319"/>
      <c r="W280" s="314">
        <v>2.2999999999999998</v>
      </c>
      <c r="X280" s="334">
        <v>8</v>
      </c>
      <c r="Y280" s="334">
        <v>8</v>
      </c>
      <c r="Z280" s="335" t="s">
        <v>82</v>
      </c>
      <c r="AA280" s="336">
        <v>6</v>
      </c>
      <c r="AB280" s="322">
        <f>AA280-(AA280*[3]Constants!$B$30)</f>
        <v>4.2</v>
      </c>
    </row>
    <row r="281" spans="1:28" ht="14.5">
      <c r="A281" s="394">
        <f t="shared" si="11"/>
        <v>45204</v>
      </c>
      <c r="B281" s="338">
        <v>74.2</v>
      </c>
      <c r="C281" s="337">
        <v>30.135999999999999</v>
      </c>
      <c r="D281" s="308">
        <f>C281*[3]Constants!$B$19</f>
        <v>1020.5255039999998</v>
      </c>
      <c r="E281" s="309" t="s">
        <v>103</v>
      </c>
      <c r="F281" s="310">
        <f>100*((([3]Constants!$B$25*EXP(([3]Constants!$B$24*J281)/(J281+[3]Constants!$B$23)))-0.8*(H281-J281))/([3]Constants!$B$25*EXP(([3]Constants!$B$24*H281)/(H281+[3]Constants!$B$23))))</f>
        <v>81.162902653281876</v>
      </c>
      <c r="G281" s="311">
        <f>([3]Constants!$B$23*LN((([3]Constants!$B$25*EXP(([3]Constants!$B$24*J281)/(J281+[3]Constants!$B$23)))-0.8*(H281-J281))/[3]Constants!$B$25))/([3]Constants!$B$24-LN((([3]Constants!$B$25*EXP(([3]Constants!$B$24*J281)/(J281+[3]Constants!$B$23)))-0.8*(H281-J281))/[3]Constants!$B$25))</f>
        <v>11.115947456488222</v>
      </c>
      <c r="H281" s="338">
        <v>14.3</v>
      </c>
      <c r="I281" s="314">
        <v>14.1</v>
      </c>
      <c r="J281" s="314">
        <v>12.6</v>
      </c>
      <c r="K281" s="314">
        <v>18.100000000000001</v>
      </c>
      <c r="L281" s="313" t="s">
        <v>103</v>
      </c>
      <c r="M281" s="43">
        <f t="shared" si="10"/>
        <v>15.200000000000001</v>
      </c>
      <c r="N281" s="314">
        <v>12.3</v>
      </c>
      <c r="O281" s="314">
        <v>10.6</v>
      </c>
      <c r="P281" s="314">
        <v>11.5</v>
      </c>
      <c r="Q281" s="314" t="s">
        <v>103</v>
      </c>
      <c r="R281" s="314">
        <v>15.6</v>
      </c>
      <c r="S281" s="314">
        <v>16.7</v>
      </c>
      <c r="T281" s="308">
        <v>0</v>
      </c>
      <c r="U281" s="339">
        <v>1</v>
      </c>
      <c r="V281" s="319"/>
      <c r="W281" s="314">
        <v>1.5</v>
      </c>
      <c r="X281" s="339">
        <v>8</v>
      </c>
      <c r="Y281" s="339">
        <v>8</v>
      </c>
      <c r="Z281" s="335" t="s">
        <v>101</v>
      </c>
      <c r="AA281" s="336">
        <v>8</v>
      </c>
      <c r="AB281" s="322">
        <f>AA281-(AA281*[3]Constants!$B$30)</f>
        <v>5.6</v>
      </c>
    </row>
    <row r="282" spans="1:28" ht="14.5">
      <c r="A282" s="394">
        <f t="shared" si="11"/>
        <v>45205</v>
      </c>
      <c r="B282" s="338">
        <v>75.2</v>
      </c>
      <c r="C282" s="337">
        <v>30.1</v>
      </c>
      <c r="D282" s="308">
        <f>C282*[3]Constants!$B$19</f>
        <v>1019.3063999999999</v>
      </c>
      <c r="E282" s="308" t="s">
        <v>103</v>
      </c>
      <c r="F282" s="310">
        <f>100*((([3]Constants!$B$25*EXP(([3]Constants!$B$24*J282)/(J282+[3]Constants!$B$23)))-0.8*(H282-J282))/([3]Constants!$B$25*EXP(([3]Constants!$B$24*H282)/(H282+[3]Constants!$B$23))))</f>
        <v>81.933292501023402</v>
      </c>
      <c r="G282" s="311">
        <f>([3]Constants!$B$23*LN((([3]Constants!$B$25*EXP(([3]Constants!$B$24*J282)/(J282+[3]Constants!$B$23)))-0.8*(H282-J282))/[3]Constants!$B$25))/([3]Constants!$B$24-LN((([3]Constants!$B$25*EXP(([3]Constants!$B$24*J282)/(J282+[3]Constants!$B$23)))-0.8*(H282-J282))/[3]Constants!$B$25))</f>
        <v>12.527799492519829</v>
      </c>
      <c r="H282" s="338">
        <v>15.6</v>
      </c>
      <c r="I282" s="314">
        <v>15.7</v>
      </c>
      <c r="J282" s="314">
        <v>13.9</v>
      </c>
      <c r="K282" s="314">
        <v>20.8</v>
      </c>
      <c r="L282" s="313" t="s">
        <v>103</v>
      </c>
      <c r="M282" s="43">
        <f t="shared" si="10"/>
        <v>17</v>
      </c>
      <c r="N282" s="314">
        <v>13.2</v>
      </c>
      <c r="O282" s="314">
        <v>11.3</v>
      </c>
      <c r="P282" s="314">
        <v>11.9</v>
      </c>
      <c r="Q282" s="314" t="s">
        <v>103</v>
      </c>
      <c r="R282" s="314">
        <v>15.5</v>
      </c>
      <c r="S282" s="314">
        <v>16.600000000000001</v>
      </c>
      <c r="T282" s="308">
        <v>0</v>
      </c>
      <c r="U282" s="339">
        <v>1</v>
      </c>
      <c r="V282" s="340"/>
      <c r="W282" s="314">
        <v>6.7</v>
      </c>
      <c r="X282" s="339">
        <v>8</v>
      </c>
      <c r="Y282" s="339">
        <v>3</v>
      </c>
      <c r="Z282" s="335" t="s">
        <v>89</v>
      </c>
      <c r="AA282" s="336">
        <v>14</v>
      </c>
      <c r="AB282" s="322">
        <f>AA282-(AA282*[3]Constants!$B$30)</f>
        <v>9.8000000000000007</v>
      </c>
    </row>
    <row r="283" spans="1:28" ht="14.5">
      <c r="A283" s="394">
        <f t="shared" si="11"/>
        <v>45206</v>
      </c>
      <c r="B283" s="338">
        <v>75.8</v>
      </c>
      <c r="C283" s="337">
        <v>30.062000000000001</v>
      </c>
      <c r="D283" s="308">
        <f>C283*[3]Constants!$B$19</f>
        <v>1018.0195679999999</v>
      </c>
      <c r="E283" s="309" t="s">
        <v>103</v>
      </c>
      <c r="F283" s="310">
        <f>100*((([3]Constants!$B$25*EXP(([3]Constants!$B$24*J283)/(J283+[3]Constants!$B$23)))-0.8*(H283-J283))/([3]Constants!$B$25*EXP(([3]Constants!$B$24*H283)/(H283+[3]Constants!$B$23))))</f>
        <v>87.380697310041171</v>
      </c>
      <c r="G283" s="311">
        <f>([3]Constants!$B$23*LN((([3]Constants!$B$25*EXP(([3]Constants!$B$24*J283)/(J283+[3]Constants!$B$23)))-0.8*(H283-J283))/[3]Constants!$B$25))/([3]Constants!$B$24-LN((([3]Constants!$B$25*EXP(([3]Constants!$B$24*J283)/(J283+[3]Constants!$B$23)))-0.8*(H283-J283))/[3]Constants!$B$25))</f>
        <v>14.102581872730529</v>
      </c>
      <c r="H283" s="338">
        <v>16.2</v>
      </c>
      <c r="I283" s="314">
        <v>16.399999999999999</v>
      </c>
      <c r="J283" s="314">
        <v>15</v>
      </c>
      <c r="K283" s="314">
        <v>23.1</v>
      </c>
      <c r="L283" s="313" t="s">
        <v>103</v>
      </c>
      <c r="M283" s="43">
        <f t="shared" si="10"/>
        <v>18.149999999999999</v>
      </c>
      <c r="N283" s="308">
        <v>13.2</v>
      </c>
      <c r="O283" s="314">
        <v>11.6</v>
      </c>
      <c r="P283" s="314">
        <v>12.2</v>
      </c>
      <c r="Q283" s="314" t="s">
        <v>103</v>
      </c>
      <c r="R283" s="314">
        <v>15.7</v>
      </c>
      <c r="S283" s="314">
        <v>16.399999999999999</v>
      </c>
      <c r="T283" s="308">
        <v>0</v>
      </c>
      <c r="U283" s="339">
        <v>1</v>
      </c>
      <c r="V283" s="341"/>
      <c r="W283" s="314">
        <v>4.8</v>
      </c>
      <c r="X283" s="342">
        <v>8</v>
      </c>
      <c r="Y283" s="342">
        <v>7</v>
      </c>
      <c r="Z283" s="335" t="s">
        <v>82</v>
      </c>
      <c r="AA283" s="336">
        <v>13</v>
      </c>
      <c r="AB283" s="322">
        <f>AA283-(AA283*[3]Constants!$B$30)</f>
        <v>9.1</v>
      </c>
    </row>
    <row r="284" spans="1:28" ht="14.5">
      <c r="A284" s="394">
        <f t="shared" si="11"/>
        <v>45207</v>
      </c>
      <c r="B284" s="338">
        <v>76.599999999999994</v>
      </c>
      <c r="C284" s="337">
        <v>30.152000000000001</v>
      </c>
      <c r="D284" s="308">
        <f>C284*[3]Constants!$B$19</f>
        <v>1021.067328</v>
      </c>
      <c r="E284" s="308" t="s">
        <v>103</v>
      </c>
      <c r="F284" s="310">
        <f>100*((([3]Constants!$B$25*EXP(([3]Constants!$B$24*J284)/(J284+[3]Constants!$B$23)))-0.8*(H284-J284))/([3]Constants!$B$25*EXP(([3]Constants!$B$24*H284)/(H284+[3]Constants!$B$23))))</f>
        <v>77.446993023040733</v>
      </c>
      <c r="G284" s="311">
        <f>([3]Constants!$B$23*LN((([3]Constants!$B$25*EXP(([3]Constants!$B$24*J284)/(J284+[3]Constants!$B$23)))-0.8*(H284-J284))/[3]Constants!$B$25))/([3]Constants!$B$24-LN((([3]Constants!$B$25*EXP(([3]Constants!$B$24*J284)/(J284+[3]Constants!$B$23)))-0.8*(H284-J284))/[3]Constants!$B$25))</f>
        <v>12.545641454606832</v>
      </c>
      <c r="H284" s="338">
        <v>16.5</v>
      </c>
      <c r="I284" s="314">
        <v>16.600000000000001</v>
      </c>
      <c r="J284" s="314">
        <v>14.3</v>
      </c>
      <c r="K284" s="314">
        <v>24.3</v>
      </c>
      <c r="L284" s="313" t="s">
        <v>103</v>
      </c>
      <c r="M284" s="43">
        <f t="shared" si="10"/>
        <v>18.350000000000001</v>
      </c>
      <c r="N284" s="314">
        <v>12.4</v>
      </c>
      <c r="O284" s="314">
        <v>9.9</v>
      </c>
      <c r="P284" s="314">
        <v>10.5</v>
      </c>
      <c r="Q284" s="314" t="s">
        <v>103</v>
      </c>
      <c r="R284" s="314">
        <v>15.6</v>
      </c>
      <c r="S284" s="314">
        <v>16.3</v>
      </c>
      <c r="T284" s="314">
        <v>0</v>
      </c>
      <c r="U284" s="339">
        <v>1</v>
      </c>
      <c r="V284" s="308"/>
      <c r="W284" s="308">
        <v>6.75</v>
      </c>
      <c r="X284" s="339">
        <v>8</v>
      </c>
      <c r="Y284" s="339">
        <v>6</v>
      </c>
      <c r="Z284" s="335" t="s">
        <v>82</v>
      </c>
      <c r="AA284" s="336">
        <v>8</v>
      </c>
      <c r="AB284" s="322">
        <f>AA284-(AA284*[3]Constants!$B$30)</f>
        <v>5.6</v>
      </c>
    </row>
    <row r="285" spans="1:28" ht="14.5">
      <c r="A285" s="394">
        <f t="shared" si="11"/>
        <v>45208</v>
      </c>
      <c r="B285" s="338">
        <v>78.099999999999994</v>
      </c>
      <c r="C285" s="337">
        <v>30.038</v>
      </c>
      <c r="D285" s="308">
        <f>C285*[3]Constants!$B$19</f>
        <v>1017.206832</v>
      </c>
      <c r="E285" s="309" t="s">
        <v>103</v>
      </c>
      <c r="F285" s="310">
        <f>100*((([3]Constants!$B$25*EXP(([3]Constants!$B$24*J285)/(J285+[3]Constants!$B$23)))-0.8*(H285-J285))/([3]Constants!$B$25*EXP(([3]Constants!$B$24*H285)/(H285+[3]Constants!$B$23))))</f>
        <v>79.740778829639467</v>
      </c>
      <c r="G285" s="311">
        <f>([3]Constants!$B$23*LN((([3]Constants!$B$25*EXP(([3]Constants!$B$24*J285)/(J285+[3]Constants!$B$23)))-0.8*(H285-J285))/[3]Constants!$B$25))/([3]Constants!$B$24-LN((([3]Constants!$B$25*EXP(([3]Constants!$B$24*J285)/(J285+[3]Constants!$B$23)))-0.8*(H285-J285))/[3]Constants!$B$25))</f>
        <v>13.477725791372514</v>
      </c>
      <c r="H285" s="338">
        <v>17</v>
      </c>
      <c r="I285" s="314">
        <v>17.3</v>
      </c>
      <c r="J285" s="314">
        <v>15</v>
      </c>
      <c r="K285" s="314">
        <v>23.5</v>
      </c>
      <c r="L285" s="313" t="s">
        <v>103</v>
      </c>
      <c r="M285" s="43">
        <f t="shared" si="10"/>
        <v>18.350000000000001</v>
      </c>
      <c r="N285" s="314">
        <v>13.2</v>
      </c>
      <c r="O285" s="314">
        <v>11.3</v>
      </c>
      <c r="P285" s="314">
        <v>11.5</v>
      </c>
      <c r="Q285" s="314" t="s">
        <v>103</v>
      </c>
      <c r="R285" s="314">
        <v>15.4</v>
      </c>
      <c r="S285" s="314">
        <v>16.3</v>
      </c>
      <c r="T285" s="314">
        <v>0</v>
      </c>
      <c r="U285" s="343">
        <v>1</v>
      </c>
      <c r="V285" s="344"/>
      <c r="W285" s="314">
        <v>6.3</v>
      </c>
      <c r="X285" s="339">
        <v>8</v>
      </c>
      <c r="Y285" s="339">
        <v>6</v>
      </c>
      <c r="Z285" s="335" t="s">
        <v>82</v>
      </c>
      <c r="AA285" s="336">
        <v>0</v>
      </c>
      <c r="AB285" s="322">
        <f>AA285-(AA285*[3]Constants!$B$30)</f>
        <v>0</v>
      </c>
    </row>
    <row r="286" spans="1:28" ht="14.5">
      <c r="A286" s="394">
        <f t="shared" si="11"/>
        <v>45209</v>
      </c>
      <c r="B286" s="390">
        <v>78.7</v>
      </c>
      <c r="C286" s="337">
        <v>29.936</v>
      </c>
      <c r="D286" s="308">
        <f>C286*[3]Constants!$B$19</f>
        <v>1013.7527039999999</v>
      </c>
      <c r="E286" s="308" t="s">
        <v>103</v>
      </c>
      <c r="F286" s="310">
        <f>100*((([3]Constants!$B$25*EXP(([3]Constants!$B$24*J286)/(J286+[3]Constants!$B$23)))-0.8*(H286-J286))/([3]Constants!$B$25*EXP(([3]Constants!$B$24*H286)/(H286+[3]Constants!$B$23))))</f>
        <v>78.503106461738398</v>
      </c>
      <c r="G286" s="311">
        <f>([3]Constants!$B$23*LN((([3]Constants!$B$25*EXP(([3]Constants!$B$24*J286)/(J286+[3]Constants!$B$23)))-0.8*(H286-J286))/[3]Constants!$B$25))/([3]Constants!$B$24-LN((([3]Constants!$B$25*EXP(([3]Constants!$B$24*J286)/(J286+[3]Constants!$B$23)))-0.8*(H286-J286))/[3]Constants!$B$25))</f>
        <v>12.849322004915445</v>
      </c>
      <c r="H286" s="338">
        <v>16.600000000000001</v>
      </c>
      <c r="I286" s="314">
        <v>16.7</v>
      </c>
      <c r="J286" s="314">
        <v>14.5</v>
      </c>
      <c r="K286" s="314">
        <v>18.7</v>
      </c>
      <c r="L286" s="313" t="s">
        <v>103</v>
      </c>
      <c r="M286" s="43">
        <f t="shared" si="10"/>
        <v>15.7</v>
      </c>
      <c r="N286" s="314">
        <v>12.7</v>
      </c>
      <c r="O286" s="314">
        <v>9.4</v>
      </c>
      <c r="P286" s="314">
        <v>9.6999999999999993</v>
      </c>
      <c r="Q286" s="314" t="s">
        <v>103</v>
      </c>
      <c r="R286" s="314">
        <v>15.3</v>
      </c>
      <c r="S286" s="314">
        <v>16.3</v>
      </c>
      <c r="T286" s="314">
        <v>0</v>
      </c>
      <c r="U286" s="339">
        <v>1</v>
      </c>
      <c r="V286" s="345"/>
      <c r="W286" s="314">
        <v>5.9</v>
      </c>
      <c r="X286" s="339">
        <v>8</v>
      </c>
      <c r="Y286" s="339">
        <v>3</v>
      </c>
      <c r="Z286" s="335" t="s">
        <v>82</v>
      </c>
      <c r="AA286" s="336">
        <v>7</v>
      </c>
      <c r="AB286" s="322">
        <f>AA286-(AA286*[3]Constants!$B$30)</f>
        <v>4.9000000000000004</v>
      </c>
    </row>
    <row r="287" spans="1:28" ht="14.5">
      <c r="A287" s="394">
        <f t="shared" si="11"/>
        <v>45210</v>
      </c>
      <c r="B287" s="390">
        <v>78.7</v>
      </c>
      <c r="C287" s="337">
        <v>29.707999999999998</v>
      </c>
      <c r="D287" s="308">
        <f>C287*[3]Constants!$B$19</f>
        <v>1006.0317119999999</v>
      </c>
      <c r="E287" s="308" t="s">
        <v>103</v>
      </c>
      <c r="F287" s="310">
        <f>100*((([3]Constants!$B$25*EXP(([3]Constants!$B$24*J287)/(J287+[3]Constants!$B$23)))-0.8*(H287-J287))/([3]Constants!$B$25*EXP(([3]Constants!$B$24*H287)/(H287+[3]Constants!$B$23))))</f>
        <v>84.432452814875418</v>
      </c>
      <c r="G287" s="311">
        <f>([3]Constants!$B$23*LN((([3]Constants!$B$25*EXP(([3]Constants!$B$24*J287)/(J287+[3]Constants!$B$23)))-0.8*(H287-J287))/[3]Constants!$B$25))/([3]Constants!$B$24-LN((([3]Constants!$B$25*EXP(([3]Constants!$B$24*J287)/(J287+[3]Constants!$B$23)))-0.8*(H287-J287))/[3]Constants!$B$25))</f>
        <v>15.925810772144089</v>
      </c>
      <c r="H287" s="338">
        <v>18.600000000000001</v>
      </c>
      <c r="I287" s="314">
        <v>18.600000000000001</v>
      </c>
      <c r="J287" s="314">
        <v>17</v>
      </c>
      <c r="K287" s="314">
        <v>19.399999999999999</v>
      </c>
      <c r="L287" s="313" t="s">
        <v>103</v>
      </c>
      <c r="M287" s="43">
        <f t="shared" si="10"/>
        <v>17.399999999999999</v>
      </c>
      <c r="N287" s="314">
        <v>15.4</v>
      </c>
      <c r="O287" s="314">
        <v>11.9</v>
      </c>
      <c r="P287" s="314">
        <v>12.9</v>
      </c>
      <c r="Q287" s="314" t="s">
        <v>103</v>
      </c>
      <c r="R287" s="314">
        <v>15.4</v>
      </c>
      <c r="S287" s="314">
        <v>16</v>
      </c>
      <c r="T287" s="314">
        <v>12.3</v>
      </c>
      <c r="U287" s="339">
        <v>1</v>
      </c>
      <c r="V287" s="346"/>
      <c r="W287" s="308">
        <v>1.75</v>
      </c>
      <c r="X287" s="339">
        <v>8</v>
      </c>
      <c r="Y287" s="339">
        <v>8</v>
      </c>
      <c r="Z287" s="335" t="s">
        <v>87</v>
      </c>
      <c r="AA287" s="336">
        <v>7</v>
      </c>
      <c r="AB287" s="322">
        <f>AA287-(AA287*[3]Constants!$B$30)</f>
        <v>4.9000000000000004</v>
      </c>
    </row>
    <row r="288" spans="1:28" ht="14.5">
      <c r="A288" s="394">
        <f t="shared" si="11"/>
        <v>45211</v>
      </c>
      <c r="B288" s="390">
        <v>78.7</v>
      </c>
      <c r="C288" s="332">
        <v>29.78</v>
      </c>
      <c r="D288" s="308">
        <f>C288*[3]Constants!$B$19</f>
        <v>1008.46992</v>
      </c>
      <c r="E288" s="309" t="s">
        <v>103</v>
      </c>
      <c r="F288" s="310">
        <f>100*((([3]Constants!$B$25*EXP(([3]Constants!$B$24*J288)/(J288+[3]Constants!$B$23)))-0.8*(H288-J288))/([3]Constants!$B$25*EXP(([3]Constants!$B$24*H288)/(H288+[3]Constants!$B$23))))</f>
        <v>100</v>
      </c>
      <c r="G288" s="311">
        <f>([3]Constants!$B$23*LN((([3]Constants!$B$25*EXP(([3]Constants!$B$24*J288)/(J288+[3]Constants!$B$23)))-0.8*(H288-J288))/[3]Constants!$B$25))/([3]Constants!$B$24-LN((([3]Constants!$B$25*EXP(([3]Constants!$B$24*J288)/(J288+[3]Constants!$B$23)))-0.8*(H288-J288))/[3]Constants!$B$25))</f>
        <v>10.7</v>
      </c>
      <c r="H288" s="338">
        <v>10.7</v>
      </c>
      <c r="I288" s="314">
        <v>10.8</v>
      </c>
      <c r="J288" s="314">
        <v>10.7</v>
      </c>
      <c r="K288" s="347">
        <v>19</v>
      </c>
      <c r="L288" s="313" t="s">
        <v>103</v>
      </c>
      <c r="M288" s="43">
        <f t="shared" si="10"/>
        <v>14.4</v>
      </c>
      <c r="N288" s="314">
        <v>9.8000000000000007</v>
      </c>
      <c r="O288" s="314">
        <v>10.199999999999999</v>
      </c>
      <c r="P288" s="316">
        <v>11.4</v>
      </c>
      <c r="Q288" s="313" t="s">
        <v>103</v>
      </c>
      <c r="R288" s="314">
        <v>15.7</v>
      </c>
      <c r="S288" s="314">
        <v>16</v>
      </c>
      <c r="T288" s="314">
        <v>18</v>
      </c>
      <c r="U288" s="339">
        <v>2</v>
      </c>
      <c r="V288" s="344"/>
      <c r="W288" s="314">
        <v>0</v>
      </c>
      <c r="X288" s="339">
        <v>6</v>
      </c>
      <c r="Y288" s="339">
        <v>8</v>
      </c>
      <c r="Z288" s="335" t="s">
        <v>82</v>
      </c>
      <c r="AA288" s="336">
        <v>6</v>
      </c>
      <c r="AB288" s="322">
        <f>AA288-(AA288*[3]Constants!$B$30)</f>
        <v>4.2</v>
      </c>
    </row>
    <row r="289" spans="1:28" ht="14.5">
      <c r="A289" s="394">
        <f t="shared" si="11"/>
        <v>45212</v>
      </c>
      <c r="B289" s="338">
        <v>76.900000000000006</v>
      </c>
      <c r="C289" s="332">
        <v>29.372</v>
      </c>
      <c r="D289" s="308">
        <f>C289*[3]Constants!$B$19</f>
        <v>994.6534079999999</v>
      </c>
      <c r="E289" s="308" t="s">
        <v>103</v>
      </c>
      <c r="F289" s="310">
        <f>100*((([3]Constants!$B$25*EXP(([3]Constants!$B$24*J289)/(J289+[3]Constants!$B$23)))-0.8*(H289-J289))/([3]Constants!$B$25*EXP(([3]Constants!$B$24*H289)/(H289+[3]Constants!$B$23))))</f>
        <v>87.39473263745073</v>
      </c>
      <c r="G289" s="311">
        <f>([3]Constants!$B$23*LN((([3]Constants!$B$25*EXP(([3]Constants!$B$24*J289)/(J289+[3]Constants!$B$23)))-0.8*(H289-J289))/[3]Constants!$B$25))/([3]Constants!$B$24-LN((([3]Constants!$B$25*EXP(([3]Constants!$B$24*J289)/(J289+[3]Constants!$B$23)))-0.8*(H289-J289))/[3]Constants!$B$25))</f>
        <v>16.761451296256311</v>
      </c>
      <c r="H289" s="338">
        <v>18.899999999999999</v>
      </c>
      <c r="I289" s="314">
        <v>19</v>
      </c>
      <c r="J289" s="314">
        <v>17.600000000000001</v>
      </c>
      <c r="K289" s="313">
        <v>21.4</v>
      </c>
      <c r="L289" s="313" t="s">
        <v>103</v>
      </c>
      <c r="M289" s="43">
        <f t="shared" si="10"/>
        <v>15.899999999999999</v>
      </c>
      <c r="N289" s="314">
        <v>10.4</v>
      </c>
      <c r="O289" s="316">
        <v>11.8</v>
      </c>
      <c r="P289" s="316">
        <v>12.3</v>
      </c>
      <c r="Q289" s="313" t="s">
        <v>103</v>
      </c>
      <c r="R289" s="314">
        <v>15.5</v>
      </c>
      <c r="S289" s="314">
        <v>16</v>
      </c>
      <c r="T289" s="314">
        <v>33.9</v>
      </c>
      <c r="U289" s="339">
        <v>2</v>
      </c>
      <c r="V289" s="314"/>
      <c r="W289" s="314">
        <v>0</v>
      </c>
      <c r="X289" s="339">
        <v>8</v>
      </c>
      <c r="Y289" s="339">
        <v>5</v>
      </c>
      <c r="Z289" s="335" t="s">
        <v>84</v>
      </c>
      <c r="AA289" s="336">
        <v>15</v>
      </c>
      <c r="AB289" s="322">
        <f>AA289-(AA289*[3]Constants!$B$30)</f>
        <v>10.5</v>
      </c>
    </row>
    <row r="290" spans="1:28" ht="14.5">
      <c r="A290" s="394">
        <f t="shared" si="11"/>
        <v>45213</v>
      </c>
      <c r="B290" s="338">
        <v>74.2</v>
      </c>
      <c r="C290" s="332">
        <v>29.9</v>
      </c>
      <c r="D290" s="308">
        <f>C290*[3]Constants!$B$19</f>
        <v>1012.5335999999999</v>
      </c>
      <c r="E290" s="308" t="s">
        <v>103</v>
      </c>
      <c r="F290" s="310">
        <f>100*((([3]Constants!$B$25*EXP(([3]Constants!$B$24*J290)/(J290+[3]Constants!$B$23)))-0.8*(H290-J290))/([3]Constants!$B$25*EXP(([3]Constants!$B$24*H290)/(H290+[3]Constants!$B$23))))</f>
        <v>76.557227518647366</v>
      </c>
      <c r="G290" s="311">
        <f>([3]Constants!$B$23*LN((([3]Constants!$B$25*EXP(([3]Constants!$B$24*J290)/(J290+[3]Constants!$B$23)))-0.8*(H290-J290))/[3]Constants!$B$25))/([3]Constants!$B$24-LN((([3]Constants!$B$25*EXP(([3]Constants!$B$24*J290)/(J290+[3]Constants!$B$23)))-0.8*(H290-J290))/[3]Constants!$B$25))</f>
        <v>7.1381735025658273</v>
      </c>
      <c r="H290" s="338">
        <v>11.1</v>
      </c>
      <c r="I290" s="314">
        <v>11.3</v>
      </c>
      <c r="J290" s="314">
        <v>9.1999999999999993</v>
      </c>
      <c r="K290" s="313">
        <v>14.2</v>
      </c>
      <c r="L290" s="313" t="s">
        <v>103</v>
      </c>
      <c r="M290" s="43">
        <f t="shared" si="10"/>
        <v>10.1</v>
      </c>
      <c r="N290" s="314">
        <v>6</v>
      </c>
      <c r="O290" s="314">
        <v>3.9</v>
      </c>
      <c r="P290" s="314">
        <v>5.2</v>
      </c>
      <c r="Q290" s="313" t="s">
        <v>103</v>
      </c>
      <c r="R290" s="314">
        <v>14.9</v>
      </c>
      <c r="S290" s="314">
        <v>15.9</v>
      </c>
      <c r="T290" s="314">
        <v>0.2</v>
      </c>
      <c r="U290" s="339">
        <v>2</v>
      </c>
      <c r="V290" s="319"/>
      <c r="W290" s="314">
        <v>8.4</v>
      </c>
      <c r="X290" s="339">
        <v>8</v>
      </c>
      <c r="Y290" s="339">
        <v>2</v>
      </c>
      <c r="Z290" s="335" t="s">
        <v>82</v>
      </c>
      <c r="AA290" s="336">
        <v>20</v>
      </c>
      <c r="AB290" s="322">
        <f>AA290-(AA290*[3]Constants!$B$30)</f>
        <v>14</v>
      </c>
    </row>
    <row r="291" spans="1:28" ht="14.5">
      <c r="A291" s="394">
        <f t="shared" si="11"/>
        <v>45214</v>
      </c>
      <c r="B291" s="349">
        <v>74.400000000000006</v>
      </c>
      <c r="C291" s="332">
        <v>30.186</v>
      </c>
      <c r="D291" s="308">
        <f>C291*[3]Constants!$B$19</f>
        <v>1022.2187039999999</v>
      </c>
      <c r="E291" s="309" t="s">
        <v>103</v>
      </c>
      <c r="F291" s="310">
        <f>100*((([3]Constants!$B$25*EXP(([3]Constants!$B$24*J291)/(J291+[3]Constants!$B$23)))-0.8*(H291-J291))/([3]Constants!$B$25*EXP(([3]Constants!$B$24*H291)/(H291+[3]Constants!$B$23))))</f>
        <v>60.589351590988535</v>
      </c>
      <c r="G291" s="311">
        <f>([3]Constants!$B$23*LN((([3]Constants!$B$25*EXP(([3]Constants!$B$24*J291)/(J291+[3]Constants!$B$23)))-0.8*(H291-J291))/[3]Constants!$B$25))/([3]Constants!$B$24-LN((([3]Constants!$B$25*EXP(([3]Constants!$B$24*J291)/(J291+[3]Constants!$B$23)))-0.8*(H291-J291))/[3]Constants!$B$25))</f>
        <v>1.0325233865279766</v>
      </c>
      <c r="H291" s="349">
        <v>8.1999999999999993</v>
      </c>
      <c r="I291" s="348">
        <v>8.5</v>
      </c>
      <c r="J291" s="348">
        <v>5.3</v>
      </c>
      <c r="K291" s="313">
        <v>11.4</v>
      </c>
      <c r="L291" s="313" t="s">
        <v>103</v>
      </c>
      <c r="M291" s="43">
        <f t="shared" si="10"/>
        <v>6.65</v>
      </c>
      <c r="N291" s="348">
        <v>1.9</v>
      </c>
      <c r="O291" s="309">
        <v>-0.4</v>
      </c>
      <c r="P291" s="309">
        <v>1.8</v>
      </c>
      <c r="Q291" s="313" t="s">
        <v>103</v>
      </c>
      <c r="R291" s="348">
        <v>13.4</v>
      </c>
      <c r="S291" s="348">
        <v>15.9</v>
      </c>
      <c r="T291" s="348">
        <v>0</v>
      </c>
      <c r="U291" s="350">
        <v>1</v>
      </c>
      <c r="V291" s="351"/>
      <c r="W291" s="348">
        <v>9.1999999999999993</v>
      </c>
      <c r="X291" s="350">
        <v>8</v>
      </c>
      <c r="Y291" s="350">
        <v>0</v>
      </c>
      <c r="Z291" s="352" t="s">
        <v>82</v>
      </c>
      <c r="AA291" s="353">
        <v>5</v>
      </c>
      <c r="AB291" s="322">
        <f>AA291-(AA291*[3]Constants!$B$30)</f>
        <v>3.5</v>
      </c>
    </row>
    <row r="292" spans="1:28" ht="14.5">
      <c r="A292" s="394">
        <f t="shared" si="11"/>
        <v>45215</v>
      </c>
      <c r="B292" s="349">
        <v>71</v>
      </c>
      <c r="C292" s="332">
        <v>30.056000000000001</v>
      </c>
      <c r="D292" s="308">
        <f>C292*[3]Constants!$B$19</f>
        <v>1017.816384</v>
      </c>
      <c r="E292" s="308" t="s">
        <v>103</v>
      </c>
      <c r="F292" s="310">
        <f>100*((([3]Constants!$B$25*EXP(([3]Constants!$B$24*J292)/(J292+[3]Constants!$B$23)))-0.8*(H292-J292))/([3]Constants!$B$25*EXP(([3]Constants!$B$24*H292)/(H292+[3]Constants!$B$23))))</f>
        <v>87.333174078806749</v>
      </c>
      <c r="G292" s="311">
        <f>([3]Constants!$B$23*LN((([3]Constants!$B$25*EXP(([3]Constants!$B$24*J292)/(J292+[3]Constants!$B$23)))-0.8*(H292-J292))/[3]Constants!$B$25))/([3]Constants!$B$24-LN((([3]Constants!$B$25*EXP(([3]Constants!$B$24*J292)/(J292+[3]Constants!$B$23)))-0.8*(H292-J292))/[3]Constants!$B$25))</f>
        <v>3.2681400290175096</v>
      </c>
      <c r="H292" s="338">
        <v>5.2</v>
      </c>
      <c r="I292" s="314">
        <v>5.5</v>
      </c>
      <c r="J292" s="314">
        <v>4.4000000000000004</v>
      </c>
      <c r="K292" s="348">
        <v>11.2</v>
      </c>
      <c r="L292" s="313" t="s">
        <v>103</v>
      </c>
      <c r="M292" s="43">
        <f t="shared" si="10"/>
        <v>5.9499999999999993</v>
      </c>
      <c r="N292" s="314">
        <v>0.7</v>
      </c>
      <c r="O292" s="314">
        <v>-1</v>
      </c>
      <c r="P292" s="314">
        <v>1.2</v>
      </c>
      <c r="Q292" s="313" t="s">
        <v>103</v>
      </c>
      <c r="R292" s="314">
        <v>11.7</v>
      </c>
      <c r="S292" s="314">
        <v>15.8</v>
      </c>
      <c r="T292" s="348" t="s">
        <v>91</v>
      </c>
      <c r="U292" s="339">
        <v>1</v>
      </c>
      <c r="V292" s="319"/>
      <c r="W292" s="348">
        <v>1.3</v>
      </c>
      <c r="X292" s="339">
        <v>8</v>
      </c>
      <c r="Y292" s="339">
        <v>4</v>
      </c>
      <c r="Z292" s="335" t="s">
        <v>89</v>
      </c>
      <c r="AA292" s="314">
        <v>5</v>
      </c>
      <c r="AB292" s="322">
        <f>AA292-(AA292*[3]Constants!$B$30)</f>
        <v>3.5</v>
      </c>
    </row>
    <row r="293" spans="1:28" ht="14.5">
      <c r="A293" s="394">
        <f t="shared" si="11"/>
        <v>45216</v>
      </c>
      <c r="B293" s="349">
        <v>77.8</v>
      </c>
      <c r="C293" s="354">
        <v>29.765999999999998</v>
      </c>
      <c r="D293" s="308">
        <f>C293*[3]Constants!$B$19</f>
        <v>1007.9958239999999</v>
      </c>
      <c r="E293" s="309" t="s">
        <v>103</v>
      </c>
      <c r="F293" s="310">
        <f>100*((([3]Constants!$B$25*EXP(([3]Constants!$B$24*J293)/(J293+[3]Constants!$B$23)))-0.8*(H293-J293))/([3]Constants!$B$25*EXP(([3]Constants!$B$24*H293)/(H293+[3]Constants!$B$23))))</f>
        <v>79.805103305455262</v>
      </c>
      <c r="G293" s="311">
        <f>([3]Constants!$B$23*LN((([3]Constants!$B$25*EXP(([3]Constants!$B$24*J293)/(J293+[3]Constants!$B$23)))-0.8*(H293-J293))/[3]Constants!$B$25))/([3]Constants!$B$24-LN((([3]Constants!$B$25*EXP(([3]Constants!$B$24*J293)/(J293+[3]Constants!$B$23)))-0.8*(H293-J293))/[3]Constants!$B$25))</f>
        <v>7.2593411852919685</v>
      </c>
      <c r="H293" s="349">
        <v>10.6</v>
      </c>
      <c r="I293" s="348">
        <v>10.6</v>
      </c>
      <c r="J293" s="353">
        <v>9</v>
      </c>
      <c r="K293" s="314">
        <v>15.1</v>
      </c>
      <c r="L293" s="313" t="s">
        <v>103</v>
      </c>
      <c r="M293" s="43">
        <f t="shared" si="10"/>
        <v>10.25</v>
      </c>
      <c r="N293" s="349">
        <v>5.4</v>
      </c>
      <c r="O293" s="348">
        <v>1.1000000000000001</v>
      </c>
      <c r="P293" s="348">
        <v>1.5</v>
      </c>
      <c r="Q293" s="313" t="s">
        <v>103</v>
      </c>
      <c r="R293" s="353">
        <v>11.7</v>
      </c>
      <c r="S293" s="314">
        <v>15.3</v>
      </c>
      <c r="T293" s="314">
        <v>0</v>
      </c>
      <c r="U293" s="355">
        <v>1</v>
      </c>
      <c r="V293" s="319"/>
      <c r="W293" s="314">
        <v>4.8</v>
      </c>
      <c r="X293" s="356">
        <v>8</v>
      </c>
      <c r="Y293" s="350">
        <v>4</v>
      </c>
      <c r="Z293" s="352" t="s">
        <v>82</v>
      </c>
      <c r="AA293" s="353">
        <v>15</v>
      </c>
      <c r="AB293" s="322">
        <f>AA293-(AA293*[3]Constants!$B$30)</f>
        <v>10.5</v>
      </c>
    </row>
    <row r="294" spans="1:28" ht="14.5">
      <c r="A294" s="394">
        <f t="shared" si="11"/>
        <v>45217</v>
      </c>
      <c r="B294" s="338">
        <v>73</v>
      </c>
      <c r="C294" s="332">
        <v>29.37</v>
      </c>
      <c r="D294" s="308">
        <f>C294*[3]Constants!$B$19</f>
        <v>994.58567999999991</v>
      </c>
      <c r="E294" s="308" t="s">
        <v>103</v>
      </c>
      <c r="F294" s="310">
        <f>100*((([3]Constants!$B$25*EXP(([3]Constants!$B$24*J294)/(J294+[3]Constants!$B$23)))-0.8*(H294-J294))/([3]Constants!$B$25*EXP(([3]Constants!$B$24*H294)/(H294+[3]Constants!$B$23))))</f>
        <v>78.983831492227466</v>
      </c>
      <c r="G294" s="311">
        <f>([3]Constants!$B$23*LN((([3]Constants!$B$25*EXP(([3]Constants!$B$24*J294)/(J294+[3]Constants!$B$23)))-0.8*(H294-J294))/[3]Constants!$B$25))/([3]Constants!$B$24-LN((([3]Constants!$B$25*EXP(([3]Constants!$B$24*J294)/(J294+[3]Constants!$B$23)))-0.8*(H294-J294))/[3]Constants!$B$25))</f>
        <v>9.150707352913896</v>
      </c>
      <c r="H294" s="338">
        <v>12.7</v>
      </c>
      <c r="I294" s="314">
        <v>12.7</v>
      </c>
      <c r="J294" s="314">
        <v>10.9</v>
      </c>
      <c r="K294" s="347">
        <v>16.7</v>
      </c>
      <c r="L294" s="313" t="s">
        <v>103</v>
      </c>
      <c r="M294" s="43">
        <f t="shared" si="10"/>
        <v>13.35</v>
      </c>
      <c r="N294" s="314">
        <v>10</v>
      </c>
      <c r="O294" s="314">
        <v>7.1</v>
      </c>
      <c r="P294" s="314">
        <v>8.1999999999999993</v>
      </c>
      <c r="Q294" s="313" t="s">
        <v>103</v>
      </c>
      <c r="R294" s="314">
        <v>12</v>
      </c>
      <c r="S294" s="314">
        <v>14.9</v>
      </c>
      <c r="T294" s="314">
        <v>14.4</v>
      </c>
      <c r="U294" s="339">
        <v>2</v>
      </c>
      <c r="V294" s="357"/>
      <c r="W294" s="347">
        <v>0.1</v>
      </c>
      <c r="X294" s="339">
        <v>8</v>
      </c>
      <c r="Y294" s="339">
        <v>8</v>
      </c>
      <c r="Z294" s="335" t="s">
        <v>82</v>
      </c>
      <c r="AA294" s="336">
        <v>14</v>
      </c>
      <c r="AB294" s="322">
        <f>AA294-(AA294*[3]Constants!$B$30)</f>
        <v>9.8000000000000007</v>
      </c>
    </row>
    <row r="295" spans="1:28" ht="14.5">
      <c r="A295" s="394">
        <f t="shared" si="11"/>
        <v>45218</v>
      </c>
      <c r="B295" s="349">
        <v>74.599999999999994</v>
      </c>
      <c r="C295" s="354">
        <v>28.898</v>
      </c>
      <c r="D295" s="308">
        <f>C295*[3]Constants!$B$19</f>
        <v>978.60187199999996</v>
      </c>
      <c r="E295" s="309" t="s">
        <v>103</v>
      </c>
      <c r="F295" s="310">
        <f>100*((([3]Constants!$B$25*EXP(([3]Constants!$B$24*J295)/(J295+[3]Constants!$B$23)))-0.8*(H295-J295))/([3]Constants!$B$25*EXP(([3]Constants!$B$24*H295)/(H295+[3]Constants!$B$23))))</f>
        <v>88.553863009876451</v>
      </c>
      <c r="G295" s="311">
        <f>([3]Constants!$B$23*LN((([3]Constants!$B$25*EXP(([3]Constants!$B$24*J295)/(J295+[3]Constants!$B$23)))-0.8*(H295-J295))/[3]Constants!$B$25))/([3]Constants!$B$24-LN((([3]Constants!$B$25*EXP(([3]Constants!$B$24*J295)/(J295+[3]Constants!$B$23)))-0.8*(H295-J295))/[3]Constants!$B$25))</f>
        <v>14.702624389478075</v>
      </c>
      <c r="H295" s="314">
        <v>16.600000000000001</v>
      </c>
      <c r="I295" s="314">
        <v>16.7</v>
      </c>
      <c r="J295" s="314">
        <v>15.5</v>
      </c>
      <c r="K295" s="308">
        <v>18</v>
      </c>
      <c r="L295" s="313" t="s">
        <v>103</v>
      </c>
      <c r="M295" s="43">
        <f t="shared" si="10"/>
        <v>15.05</v>
      </c>
      <c r="N295" s="314">
        <v>12.1</v>
      </c>
      <c r="O295" s="314">
        <v>10.3</v>
      </c>
      <c r="P295" s="314">
        <v>11.6</v>
      </c>
      <c r="Q295" s="313" t="s">
        <v>103</v>
      </c>
      <c r="R295" s="314">
        <v>12.8</v>
      </c>
      <c r="S295" s="314">
        <v>14.7</v>
      </c>
      <c r="T295" s="358">
        <v>29.9</v>
      </c>
      <c r="U295" s="339">
        <v>2</v>
      </c>
      <c r="V295" s="319"/>
      <c r="W295" s="314">
        <v>2.2999999999999998</v>
      </c>
      <c r="X295" s="339">
        <v>8</v>
      </c>
      <c r="Y295" s="339">
        <v>7</v>
      </c>
      <c r="Z295" s="335" t="s">
        <v>101</v>
      </c>
      <c r="AA295" s="314">
        <v>13</v>
      </c>
      <c r="AB295" s="322">
        <f>AA295-(AA295*[3]Constants!$B$30)</f>
        <v>9.1</v>
      </c>
    </row>
    <row r="296" spans="1:28" ht="14.5">
      <c r="A296" s="394">
        <f t="shared" si="11"/>
        <v>45219</v>
      </c>
      <c r="B296" s="392">
        <v>74.599999999999994</v>
      </c>
      <c r="C296" s="359">
        <v>28.678000000000001</v>
      </c>
      <c r="D296" s="308">
        <f>C296*[3]Constants!$B$19</f>
        <v>971.151792</v>
      </c>
      <c r="E296" s="308" t="s">
        <v>103</v>
      </c>
      <c r="F296" s="310">
        <f>100*((([3]Constants!$B$25*EXP(([3]Constants!$B$24*J296)/(J296+[3]Constants!$B$23)))-0.8*(H296-J296))/([3]Constants!$B$25*EXP(([3]Constants!$B$24*H296)/(H296+[3]Constants!$B$23))))</f>
        <v>94.104181046068462</v>
      </c>
      <c r="G296" s="311">
        <f>([3]Constants!$B$23*LN((([3]Constants!$B$25*EXP(([3]Constants!$B$24*J296)/(J296+[3]Constants!$B$23)))-0.8*(H296-J296))/[3]Constants!$B$25))/([3]Constants!$B$24-LN((([3]Constants!$B$25*EXP(([3]Constants!$B$24*J296)/(J296+[3]Constants!$B$23)))-0.8*(H296-J296))/[3]Constants!$B$25))</f>
        <v>12.074147859088891</v>
      </c>
      <c r="H296" s="333">
        <v>13</v>
      </c>
      <c r="I296" s="334">
        <v>13.1</v>
      </c>
      <c r="J296" s="334">
        <v>12.5</v>
      </c>
      <c r="K296" s="314">
        <v>16.399999999999999</v>
      </c>
      <c r="L296" s="313" t="s">
        <v>103</v>
      </c>
      <c r="M296" s="43">
        <f t="shared" si="10"/>
        <v>14.5</v>
      </c>
      <c r="N296" s="334">
        <v>12.6</v>
      </c>
      <c r="O296" s="334">
        <v>12.8</v>
      </c>
      <c r="P296" s="308">
        <v>13</v>
      </c>
      <c r="Q296" s="313" t="s">
        <v>103</v>
      </c>
      <c r="R296" s="334">
        <v>13.6</v>
      </c>
      <c r="S296" s="308">
        <v>14.5</v>
      </c>
      <c r="T296" s="314">
        <v>0.2</v>
      </c>
      <c r="U296" s="342">
        <v>1</v>
      </c>
      <c r="V296" s="344"/>
      <c r="W296" s="314">
        <v>0.2</v>
      </c>
      <c r="X296" s="334">
        <v>8</v>
      </c>
      <c r="Y296" s="334">
        <v>8</v>
      </c>
      <c r="Z296" s="360" t="s">
        <v>90</v>
      </c>
      <c r="AA296" s="308">
        <v>8</v>
      </c>
      <c r="AB296" s="322">
        <f>AA296-(AA296*[3]Constants!$B$30)</f>
        <v>5.6</v>
      </c>
    </row>
    <row r="297" spans="1:28" ht="14.5">
      <c r="A297" s="394">
        <f t="shared" si="11"/>
        <v>45220</v>
      </c>
      <c r="B297" s="362">
        <v>74.3</v>
      </c>
      <c r="C297" s="361">
        <v>28.888000000000002</v>
      </c>
      <c r="D297" s="308">
        <f>C297*[3]Constants!$B$19</f>
        <v>978.26323200000002</v>
      </c>
      <c r="E297" s="309" t="s">
        <v>103</v>
      </c>
      <c r="F297" s="310">
        <f>100*((([3]Constants!$B$25*EXP(([3]Constants!$B$24*J297)/(J297+[3]Constants!$B$23)))-0.8*(H297-J297))/([3]Constants!$B$25*EXP(([3]Constants!$B$24*H297)/(H297+[3]Constants!$B$23))))</f>
        <v>94.163456523046506</v>
      </c>
      <c r="G297" s="311">
        <f>([3]Constants!$B$23*LN((([3]Constants!$B$25*EXP(([3]Constants!$B$24*J297)/(J297+[3]Constants!$B$23)))-0.8*(H297-J297))/[3]Constants!$B$25))/([3]Constants!$B$24-LN((([3]Constants!$B$25*EXP(([3]Constants!$B$24*J297)/(J297+[3]Constants!$B$23)))-0.8*(H297-J297))/[3]Constants!$B$25))</f>
        <v>12.381566762291397</v>
      </c>
      <c r="H297" s="362">
        <v>13.3</v>
      </c>
      <c r="I297" s="315">
        <v>13.3</v>
      </c>
      <c r="J297" s="315">
        <v>12.8</v>
      </c>
      <c r="K297" s="314">
        <v>13.6</v>
      </c>
      <c r="L297" s="313" t="s">
        <v>103</v>
      </c>
      <c r="M297" s="43">
        <f t="shared" si="10"/>
        <v>12.25</v>
      </c>
      <c r="N297" s="315">
        <v>10.9</v>
      </c>
      <c r="O297" s="315">
        <v>7.5</v>
      </c>
      <c r="P297" s="315">
        <v>9</v>
      </c>
      <c r="Q297" s="313" t="s">
        <v>103</v>
      </c>
      <c r="R297" s="315">
        <v>13.8</v>
      </c>
      <c r="S297" s="315">
        <v>14.5</v>
      </c>
      <c r="T297" s="315">
        <v>0.1</v>
      </c>
      <c r="U297" s="363">
        <v>1</v>
      </c>
      <c r="V297" s="364"/>
      <c r="W297" s="365">
        <v>0</v>
      </c>
      <c r="X297" s="366">
        <v>6</v>
      </c>
      <c r="Y297" s="366">
        <v>8</v>
      </c>
      <c r="Z297" s="367" t="s">
        <v>82</v>
      </c>
      <c r="AA297" s="368">
        <v>7</v>
      </c>
      <c r="AB297" s="322">
        <f>AA297-(AA297*[3]Constants!$B$30)</f>
        <v>4.9000000000000004</v>
      </c>
    </row>
    <row r="298" spans="1:28" ht="14.5">
      <c r="A298" s="394">
        <f t="shared" si="11"/>
        <v>45221</v>
      </c>
      <c r="B298" s="338">
        <v>73.2</v>
      </c>
      <c r="C298" s="332">
        <v>29.54</v>
      </c>
      <c r="D298" s="308">
        <f>C298*[3]Constants!$B$19</f>
        <v>1000.3425599999999</v>
      </c>
      <c r="E298" s="308" t="s">
        <v>103</v>
      </c>
      <c r="F298" s="310">
        <f>100*((([3]Constants!$B$25*EXP(([3]Constants!$B$24*J298)/(J298+[3]Constants!$B$23)))-0.8*(H298-J298))/([3]Constants!$B$25*EXP(([3]Constants!$B$24*H298)/(H298+[3]Constants!$B$23))))</f>
        <v>84.245013343628074</v>
      </c>
      <c r="G298" s="311">
        <f>([3]Constants!$B$23*LN((([3]Constants!$B$25*EXP(([3]Constants!$B$24*J298)/(J298+[3]Constants!$B$23)))-0.8*(H298-J298))/[3]Constants!$B$25))/([3]Constants!$B$24-LN((([3]Constants!$B$25*EXP(([3]Constants!$B$24*J298)/(J298+[3]Constants!$B$23)))-0.8*(H298-J298))/[3]Constants!$B$25))</f>
        <v>7.1710135270618842</v>
      </c>
      <c r="H298" s="338">
        <v>9.6999999999999993</v>
      </c>
      <c r="I298" s="314">
        <v>9.6</v>
      </c>
      <c r="J298" s="314">
        <v>8.5</v>
      </c>
      <c r="K298" s="369">
        <v>16.100000000000001</v>
      </c>
      <c r="L298" s="313" t="s">
        <v>103</v>
      </c>
      <c r="M298" s="43">
        <f t="shared" si="10"/>
        <v>10.9</v>
      </c>
      <c r="N298" s="314">
        <v>5.7</v>
      </c>
      <c r="O298" s="314">
        <v>3.6</v>
      </c>
      <c r="P298" s="314">
        <v>4.0999999999999996</v>
      </c>
      <c r="Q298" s="313" t="s">
        <v>103</v>
      </c>
      <c r="R298" s="314">
        <v>13.2</v>
      </c>
      <c r="S298" s="314">
        <v>14.5</v>
      </c>
      <c r="T298" s="314">
        <v>0</v>
      </c>
      <c r="U298" s="342">
        <v>1</v>
      </c>
      <c r="V298" s="339"/>
      <c r="W298" s="308">
        <v>6.1</v>
      </c>
      <c r="X298" s="342">
        <v>8</v>
      </c>
      <c r="Y298" s="342">
        <v>8</v>
      </c>
      <c r="Z298" s="335" t="s">
        <v>82</v>
      </c>
      <c r="AA298" s="336">
        <v>0</v>
      </c>
      <c r="AB298" s="322">
        <f>AA298-(AA298*[3]Constants!$B$30)</f>
        <v>0</v>
      </c>
    </row>
    <row r="299" spans="1:28" ht="14.5">
      <c r="A299" s="394">
        <f t="shared" si="11"/>
        <v>45222</v>
      </c>
      <c r="B299" s="338">
        <v>73.900000000000006</v>
      </c>
      <c r="C299" s="332">
        <v>29.648</v>
      </c>
      <c r="D299" s="308">
        <f>C299*[3]Constants!$B$19</f>
        <v>1003.9998719999999</v>
      </c>
      <c r="E299" s="309" t="s">
        <v>103</v>
      </c>
      <c r="F299" s="310">
        <f>100*((([3]Constants!$B$25*EXP(([3]Constants!$B$24*J299)/(J299+[3]Constants!$B$23)))-0.8*(H299-J299))/([3]Constants!$B$25*EXP(([3]Constants!$B$24*H299)/(H299+[3]Constants!$B$23))))</f>
        <v>98.695043556572458</v>
      </c>
      <c r="G299" s="311">
        <f>([3]Constants!$B$23*LN((([3]Constants!$B$25*EXP(([3]Constants!$B$24*J299)/(J299+[3]Constants!$B$23)))-0.8*(H299-J299))/[3]Constants!$B$25))/([3]Constants!$B$24-LN((([3]Constants!$B$25*EXP(([3]Constants!$B$24*J299)/(J299+[3]Constants!$B$23)))-0.8*(H299-J299))/[3]Constants!$B$25))</f>
        <v>10.103502706589312</v>
      </c>
      <c r="H299" s="338">
        <v>10.3</v>
      </c>
      <c r="I299" s="314">
        <v>10.3</v>
      </c>
      <c r="J299" s="314">
        <v>10.199999999999999</v>
      </c>
      <c r="K299" s="314">
        <v>14.8</v>
      </c>
      <c r="L299" s="313" t="s">
        <v>103</v>
      </c>
      <c r="M299" s="43">
        <f t="shared" si="10"/>
        <v>9.9</v>
      </c>
      <c r="N299" s="314">
        <v>5</v>
      </c>
      <c r="O299" s="314">
        <v>3.2</v>
      </c>
      <c r="P299" s="314">
        <v>4.9000000000000004</v>
      </c>
      <c r="Q299" s="313" t="s">
        <v>103</v>
      </c>
      <c r="R299" s="314">
        <v>12.4</v>
      </c>
      <c r="S299" s="314">
        <v>14.5</v>
      </c>
      <c r="T299" s="308">
        <v>1</v>
      </c>
      <c r="U299" s="342">
        <v>1</v>
      </c>
      <c r="V299" s="339"/>
      <c r="W299" s="314">
        <v>1.7</v>
      </c>
      <c r="X299" s="339">
        <v>8</v>
      </c>
      <c r="Y299" s="339">
        <v>7</v>
      </c>
      <c r="Z299" s="335" t="s">
        <v>82</v>
      </c>
      <c r="AA299" s="336">
        <v>8</v>
      </c>
      <c r="AB299" s="322">
        <f>AA299-(AA299*[3]Constants!$B$30)</f>
        <v>5.6</v>
      </c>
    </row>
    <row r="300" spans="1:28" ht="14.5">
      <c r="A300" s="394">
        <f t="shared" si="11"/>
        <v>45223</v>
      </c>
      <c r="B300" s="338">
        <v>73.400000000000006</v>
      </c>
      <c r="C300" s="332">
        <v>29.44</v>
      </c>
      <c r="D300" s="308">
        <f>C300*[3]Constants!$B$19</f>
        <v>996.95615999999995</v>
      </c>
      <c r="E300" s="308" t="s">
        <v>103</v>
      </c>
      <c r="F300" s="310">
        <f>100*((([3]Constants!$B$25*EXP(([3]Constants!$B$24*J300)/(J300+[3]Constants!$B$23)))-0.8*(H300-J300))/([3]Constants!$B$25*EXP(([3]Constants!$B$24*H300)/(H300+[3]Constants!$B$23))))</f>
        <v>94.706309255523365</v>
      </c>
      <c r="G300" s="311">
        <f>([3]Constants!$B$23*LN((([3]Constants!$B$25*EXP(([3]Constants!$B$24*J300)/(J300+[3]Constants!$B$23)))-0.8*(H300-J300))/[3]Constants!$B$25))/([3]Constants!$B$24-LN((([3]Constants!$B$25*EXP(([3]Constants!$B$24*J300)/(J300+[3]Constants!$B$23)))-0.8*(H300-J300))/[3]Constants!$B$25))</f>
        <v>8.9915334138083818</v>
      </c>
      <c r="H300" s="338">
        <v>9.8000000000000007</v>
      </c>
      <c r="I300" s="314">
        <v>9.8000000000000007</v>
      </c>
      <c r="J300" s="314">
        <v>9.4</v>
      </c>
      <c r="K300" s="314">
        <v>15.1</v>
      </c>
      <c r="L300" s="313" t="s">
        <v>103</v>
      </c>
      <c r="M300" s="43">
        <f t="shared" si="10"/>
        <v>11.649999999999999</v>
      </c>
      <c r="N300" s="314">
        <v>8.1999999999999993</v>
      </c>
      <c r="O300" s="314">
        <v>4.5</v>
      </c>
      <c r="P300" s="314">
        <v>6</v>
      </c>
      <c r="Q300" s="313" t="s">
        <v>103</v>
      </c>
      <c r="R300" s="314">
        <v>12.3</v>
      </c>
      <c r="S300" s="314">
        <v>14.4</v>
      </c>
      <c r="T300" s="308">
        <v>1.8</v>
      </c>
      <c r="U300" s="342">
        <v>1</v>
      </c>
      <c r="V300" s="339"/>
      <c r="W300" s="314">
        <v>6.3</v>
      </c>
      <c r="X300" s="339">
        <v>6</v>
      </c>
      <c r="Y300" s="339">
        <v>8</v>
      </c>
      <c r="Z300" s="335" t="s">
        <v>89</v>
      </c>
      <c r="AA300" s="336">
        <v>0</v>
      </c>
      <c r="AB300" s="322">
        <f>AA300-(AA300*[3]Constants!$B$30)</f>
        <v>0</v>
      </c>
    </row>
    <row r="301" spans="1:28" ht="14.5">
      <c r="A301" s="394">
        <f t="shared" si="11"/>
        <v>45224</v>
      </c>
      <c r="B301" s="338">
        <v>74.5</v>
      </c>
      <c r="C301" s="332">
        <v>29.302</v>
      </c>
      <c r="D301" s="308">
        <f>C301*[3]Constants!$B$19</f>
        <v>992.28292799999986</v>
      </c>
      <c r="E301" s="309" t="s">
        <v>103</v>
      </c>
      <c r="F301" s="310">
        <f>100*((([3]Constants!$B$25*EXP(([3]Constants!$B$24*J301)/(J301+[3]Constants!$B$23)))-0.8*(H301-J301))/([3]Constants!$B$25*EXP(([3]Constants!$B$24*H301)/(H301+[3]Constants!$B$23))))</f>
        <v>94.585097969842053</v>
      </c>
      <c r="G301" s="311">
        <f>([3]Constants!$B$23*LN((([3]Constants!$B$25*EXP(([3]Constants!$B$24*J301)/(J301+[3]Constants!$B$23)))-0.8*(H301-J301))/[3]Constants!$B$25))/([3]Constants!$B$24-LN((([3]Constants!$B$25*EXP(([3]Constants!$B$24*J301)/(J301+[3]Constants!$B$23)))-0.8*(H301-J301))/[3]Constants!$B$25))</f>
        <v>8.3764679871847161</v>
      </c>
      <c r="H301" s="338">
        <v>9.1999999999999993</v>
      </c>
      <c r="I301" s="314">
        <v>9.1999999999999993</v>
      </c>
      <c r="J301" s="314">
        <v>8.8000000000000007</v>
      </c>
      <c r="K301" s="314">
        <v>13.7</v>
      </c>
      <c r="L301" s="313" t="s">
        <v>103</v>
      </c>
      <c r="M301" s="43">
        <f t="shared" si="10"/>
        <v>11.05</v>
      </c>
      <c r="N301" s="314">
        <v>8.4</v>
      </c>
      <c r="O301" s="314">
        <v>7.1</v>
      </c>
      <c r="P301" s="314">
        <v>8.4</v>
      </c>
      <c r="Q301" s="313" t="s">
        <v>103</v>
      </c>
      <c r="R301" s="314">
        <v>12.4</v>
      </c>
      <c r="S301" s="314">
        <v>14.3</v>
      </c>
      <c r="T301" s="314">
        <v>1.9</v>
      </c>
      <c r="U301" s="342">
        <v>1</v>
      </c>
      <c r="V301" s="339"/>
      <c r="W301" s="308">
        <v>4.8</v>
      </c>
      <c r="X301" s="339">
        <v>7</v>
      </c>
      <c r="Y301" s="339">
        <v>7</v>
      </c>
      <c r="Z301" s="335" t="s">
        <v>82</v>
      </c>
      <c r="AA301" s="336">
        <v>8</v>
      </c>
      <c r="AB301" s="322">
        <f>AA301-(AA301*[3]Constants!$B$30)</f>
        <v>5.6</v>
      </c>
    </row>
    <row r="302" spans="1:28" ht="14.5">
      <c r="A302" s="394">
        <f t="shared" si="11"/>
        <v>45225</v>
      </c>
      <c r="B302" s="338">
        <v>75.099999999999994</v>
      </c>
      <c r="C302" s="332">
        <v>29.152000000000001</v>
      </c>
      <c r="D302" s="308">
        <f>C302*[3]Constants!$B$19</f>
        <v>987.20332799999994</v>
      </c>
      <c r="E302" s="308" t="s">
        <v>103</v>
      </c>
      <c r="F302" s="310">
        <f>100*((([3]Constants!$B$25*EXP(([3]Constants!$B$24*J302)/(J302+[3]Constants!$B$23)))-0.8*(H302-J302))/([3]Constants!$B$25*EXP(([3]Constants!$B$24*H302)/(H302+[3]Constants!$B$23))))</f>
        <v>95.076450711602462</v>
      </c>
      <c r="G302" s="311">
        <f>([3]Constants!$B$23*LN((([3]Constants!$B$25*EXP(([3]Constants!$B$24*J302)/(J302+[3]Constants!$B$23)))-0.8*(H302-J302))/[3]Constants!$B$25))/([3]Constants!$B$24-LN((([3]Constants!$B$25*EXP(([3]Constants!$B$24*J302)/(J302+[3]Constants!$B$23)))-0.8*(H302-J302))/[3]Constants!$B$25))</f>
        <v>11.03745989812735</v>
      </c>
      <c r="H302" s="338">
        <v>11.8</v>
      </c>
      <c r="I302" s="314">
        <v>11.9</v>
      </c>
      <c r="J302" s="314">
        <v>11.4</v>
      </c>
      <c r="K302" s="314">
        <v>16.3</v>
      </c>
      <c r="L302" s="313" t="s">
        <v>103</v>
      </c>
      <c r="M302" s="43">
        <f t="shared" si="10"/>
        <v>12</v>
      </c>
      <c r="N302" s="314">
        <v>7.7</v>
      </c>
      <c r="O302" s="314">
        <v>5.9</v>
      </c>
      <c r="P302" s="314">
        <v>7.1</v>
      </c>
      <c r="Q302" s="313" t="s">
        <v>103</v>
      </c>
      <c r="R302" s="314">
        <v>12.3</v>
      </c>
      <c r="S302" s="314">
        <v>14.2</v>
      </c>
      <c r="T302" s="314">
        <v>0.6</v>
      </c>
      <c r="U302" s="342">
        <v>1</v>
      </c>
      <c r="V302" s="339"/>
      <c r="W302" s="308">
        <v>5.8</v>
      </c>
      <c r="X302" s="339">
        <v>8</v>
      </c>
      <c r="Y302" s="339">
        <v>5</v>
      </c>
      <c r="Z302" s="335" t="s">
        <v>89</v>
      </c>
      <c r="AA302" s="336">
        <v>7</v>
      </c>
      <c r="AB302" s="322">
        <f>AA302-(AA302*[3]Constants!$B$30)</f>
        <v>4.9000000000000004</v>
      </c>
    </row>
    <row r="303" spans="1:28" ht="14.5">
      <c r="A303" s="394">
        <f t="shared" si="11"/>
        <v>45226</v>
      </c>
      <c r="B303" s="338">
        <v>73.2</v>
      </c>
      <c r="C303" s="332">
        <v>29.038</v>
      </c>
      <c r="D303" s="308">
        <f>C303*[3]Constants!$B$19</f>
        <v>983.34283199999993</v>
      </c>
      <c r="E303" s="309" t="s">
        <v>103</v>
      </c>
      <c r="F303" s="310">
        <f>100*((([3]Constants!$B$25*EXP(([3]Constants!$B$24*J303)/(J303+[3]Constants!$B$23)))-0.8*(H303-J303))/([3]Constants!$B$25*EXP(([3]Constants!$B$24*H303)/(H303+[3]Constants!$B$23))))</f>
        <v>98.660694124623788</v>
      </c>
      <c r="G303" s="311">
        <f>([3]Constants!$B$23*LN((([3]Constants!$B$25*EXP(([3]Constants!$B$24*J303)/(J303+[3]Constants!$B$23)))-0.8*(H303-J303))/[3]Constants!$B$25))/([3]Constants!$B$24-LN((([3]Constants!$B$25*EXP(([3]Constants!$B$24*J303)/(J303+[3]Constants!$B$23)))-0.8*(H303-J303))/[3]Constants!$B$25))</f>
        <v>9.3994101990308465</v>
      </c>
      <c r="H303" s="338">
        <v>9.6</v>
      </c>
      <c r="I303" s="314">
        <v>9.6</v>
      </c>
      <c r="J303" s="314">
        <v>9.5</v>
      </c>
      <c r="K303" s="314">
        <v>14.5</v>
      </c>
      <c r="L303" s="313" t="s">
        <v>103</v>
      </c>
      <c r="M303" s="43">
        <f t="shared" si="10"/>
        <v>11</v>
      </c>
      <c r="N303" s="314">
        <v>7.5</v>
      </c>
      <c r="O303" s="314">
        <v>5.2</v>
      </c>
      <c r="P303" s="314">
        <v>5.5</v>
      </c>
      <c r="Q303" s="313" t="s">
        <v>103</v>
      </c>
      <c r="R303" s="314">
        <v>12</v>
      </c>
      <c r="S303" s="314">
        <v>14</v>
      </c>
      <c r="T303" s="314">
        <v>0.3</v>
      </c>
      <c r="U303" s="342">
        <v>1</v>
      </c>
      <c r="V303" s="339"/>
      <c r="W303" s="308">
        <v>4.4000000000000004</v>
      </c>
      <c r="X303" s="339">
        <v>8</v>
      </c>
      <c r="Y303" s="339">
        <v>8</v>
      </c>
      <c r="Z303" s="335" t="s">
        <v>82</v>
      </c>
      <c r="AA303" s="336">
        <v>5</v>
      </c>
      <c r="AB303" s="322">
        <f>AA303-(AA303*[3]Constants!$B$30)</f>
        <v>3.5</v>
      </c>
    </row>
    <row r="304" spans="1:28" ht="14.5">
      <c r="A304" s="394">
        <f t="shared" si="11"/>
        <v>45227</v>
      </c>
      <c r="B304" s="338">
        <v>74.599999999999994</v>
      </c>
      <c r="C304" s="332">
        <v>29.1</v>
      </c>
      <c r="D304" s="308">
        <f>C304*[3]Constants!$B$19</f>
        <v>985.44240000000002</v>
      </c>
      <c r="E304" s="308" t="s">
        <v>103</v>
      </c>
      <c r="F304" s="310">
        <f>100*((([3]Constants!$B$25*EXP(([3]Constants!$B$24*J304)/(J304+[3]Constants!$B$23)))-0.8*(H304-J304))/([3]Constants!$B$25*EXP(([3]Constants!$B$24*H304)/(H304+[3]Constants!$B$23))))</f>
        <v>91.20697949418529</v>
      </c>
      <c r="G304" s="311">
        <f>([3]Constants!$B$23*LN((([3]Constants!$B$25*EXP(([3]Constants!$B$24*J304)/(J304+[3]Constants!$B$23)))-0.8*(H304-J304))/[3]Constants!$B$25))/([3]Constants!$B$24-LN((([3]Constants!$B$25*EXP(([3]Constants!$B$24*J304)/(J304+[3]Constants!$B$23)))-0.8*(H304-J304))/[3]Constants!$B$25))</f>
        <v>9.72090807380172</v>
      </c>
      <c r="H304" s="338">
        <v>11.1</v>
      </c>
      <c r="I304" s="314">
        <v>11.2</v>
      </c>
      <c r="J304" s="314">
        <v>10.4</v>
      </c>
      <c r="K304" s="314">
        <v>15.2</v>
      </c>
      <c r="L304" s="313" t="s">
        <v>103</v>
      </c>
      <c r="M304" s="43">
        <f t="shared" si="10"/>
        <v>11.95</v>
      </c>
      <c r="N304" s="314">
        <v>8.6999999999999993</v>
      </c>
      <c r="O304" s="314">
        <v>6.2</v>
      </c>
      <c r="P304" s="314">
        <v>7.2</v>
      </c>
      <c r="Q304" s="313" t="s">
        <v>103</v>
      </c>
      <c r="R304" s="314">
        <v>12</v>
      </c>
      <c r="S304" s="314">
        <v>14</v>
      </c>
      <c r="T304" s="314">
        <v>6.7</v>
      </c>
      <c r="U304" s="342">
        <v>1</v>
      </c>
      <c r="V304" s="339"/>
      <c r="W304" s="308">
        <v>4</v>
      </c>
      <c r="X304" s="339">
        <v>8</v>
      </c>
      <c r="Y304" s="339">
        <v>2</v>
      </c>
      <c r="Z304" s="335" t="s">
        <v>82</v>
      </c>
      <c r="AA304" s="336">
        <v>8</v>
      </c>
      <c r="AB304" s="322">
        <f>AA304-(AA304*[3]Constants!$B$30)</f>
        <v>5.6</v>
      </c>
    </row>
    <row r="305" spans="1:28" ht="14.5">
      <c r="A305" s="394">
        <f t="shared" si="11"/>
        <v>45228</v>
      </c>
      <c r="B305" s="338">
        <v>74.8</v>
      </c>
      <c r="C305" s="332">
        <v>29.001999999999999</v>
      </c>
      <c r="D305" s="308">
        <f>C305*[3]Constants!$B$19</f>
        <v>982.12372799999991</v>
      </c>
      <c r="E305" s="309" t="s">
        <v>103</v>
      </c>
      <c r="F305" s="310">
        <f>100*((([3]Constants!$B$25*EXP(([3]Constants!$B$24*J305)/(J305+[3]Constants!$B$23)))-0.8*(H305-J305))/([3]Constants!$B$25*EXP(([3]Constants!$B$24*H305)/(H305+[3]Constants!$B$23))))</f>
        <v>87.124281626907731</v>
      </c>
      <c r="G305" s="311">
        <f>([3]Constants!$B$23*LN((([3]Constants!$B$25*EXP(([3]Constants!$B$24*J305)/(J305+[3]Constants!$B$23)))-0.8*(H305-J305))/[3]Constants!$B$25))/([3]Constants!$B$24-LN((([3]Constants!$B$25*EXP(([3]Constants!$B$24*J305)/(J305+[3]Constants!$B$23)))-0.8*(H305-J305))/[3]Constants!$B$25))</f>
        <v>8.2531353670329946</v>
      </c>
      <c r="H305" s="338">
        <v>10.3</v>
      </c>
      <c r="I305" s="314">
        <v>10.3</v>
      </c>
      <c r="J305" s="314">
        <v>9.3000000000000007</v>
      </c>
      <c r="K305" s="314">
        <v>12.3</v>
      </c>
      <c r="L305" s="313" t="s">
        <v>103</v>
      </c>
      <c r="M305" s="43">
        <f t="shared" si="10"/>
        <v>10.100000000000001</v>
      </c>
      <c r="N305" s="314">
        <v>7.9</v>
      </c>
      <c r="O305" s="314">
        <v>5.0999999999999996</v>
      </c>
      <c r="P305" s="314">
        <v>6.1</v>
      </c>
      <c r="Q305" s="313" t="s">
        <v>103</v>
      </c>
      <c r="R305" s="314">
        <v>12.1</v>
      </c>
      <c r="S305" s="314">
        <v>13.8</v>
      </c>
      <c r="T305" s="314">
        <v>1.3</v>
      </c>
      <c r="U305" s="342">
        <v>1</v>
      </c>
      <c r="V305" s="339"/>
      <c r="W305" s="308">
        <v>2.6</v>
      </c>
      <c r="X305" s="339">
        <v>8</v>
      </c>
      <c r="Y305" s="339">
        <v>6</v>
      </c>
      <c r="Z305" s="335" t="s">
        <v>82</v>
      </c>
      <c r="AA305" s="336">
        <v>6</v>
      </c>
      <c r="AB305" s="322">
        <f>AA305-(AA305*[3]Constants!$B$30)</f>
        <v>4.2</v>
      </c>
    </row>
    <row r="306" spans="1:28" ht="14.5">
      <c r="A306" s="394">
        <f t="shared" si="11"/>
        <v>45229</v>
      </c>
      <c r="B306" s="338">
        <v>74.400000000000006</v>
      </c>
      <c r="C306" s="332">
        <v>29.228000000000002</v>
      </c>
      <c r="D306" s="308">
        <f>C306*[3]Constants!$B$19</f>
        <v>989.77699199999995</v>
      </c>
      <c r="E306" s="308" t="s">
        <v>103</v>
      </c>
      <c r="F306" s="310">
        <f>100*((([3]Constants!$B$25*EXP(([3]Constants!$B$24*J306)/(J306+[3]Constants!$B$23)))-0.8*(H306-J306))/([3]Constants!$B$25*EXP(([3]Constants!$B$24*H306)/(H306+[3]Constants!$B$23))))</f>
        <v>92.170903733688434</v>
      </c>
      <c r="G306" s="311">
        <f>([3]Constants!$B$23*LN((([3]Constants!$B$25*EXP(([3]Constants!$B$24*J306)/(J306+[3]Constants!$B$23)))-0.8*(H306-J306))/[3]Constants!$B$25))/([3]Constants!$B$24-LN((([3]Constants!$B$25*EXP(([3]Constants!$B$24*J306)/(J306+[3]Constants!$B$23)))-0.8*(H306-J306))/[3]Constants!$B$25))</f>
        <v>8.8872380272064664</v>
      </c>
      <c r="H306" s="338">
        <v>10.1</v>
      </c>
      <c r="I306" s="314">
        <v>10.199999999999999</v>
      </c>
      <c r="J306" s="314">
        <v>9.5</v>
      </c>
      <c r="K306" s="314">
        <v>15.5</v>
      </c>
      <c r="L306" s="313" t="s">
        <v>103</v>
      </c>
      <c r="M306" s="43">
        <f t="shared" si="10"/>
        <v>12.15</v>
      </c>
      <c r="N306" s="314">
        <v>8.8000000000000007</v>
      </c>
      <c r="O306" s="314">
        <v>5.2</v>
      </c>
      <c r="P306" s="314">
        <v>6.3</v>
      </c>
      <c r="Q306" s="313" t="s">
        <v>103</v>
      </c>
      <c r="R306" s="314">
        <v>11.3</v>
      </c>
      <c r="S306" s="314">
        <v>13.8</v>
      </c>
      <c r="T306" s="314">
        <v>2.8</v>
      </c>
      <c r="U306" s="342">
        <v>1</v>
      </c>
      <c r="V306" s="339"/>
      <c r="W306" s="308">
        <v>5.2</v>
      </c>
      <c r="X306" s="339">
        <v>8</v>
      </c>
      <c r="Y306" s="339">
        <v>2</v>
      </c>
      <c r="Z306" s="335" t="s">
        <v>82</v>
      </c>
      <c r="AA306" s="336">
        <v>7</v>
      </c>
      <c r="AB306" s="322">
        <f>AA306-(AA306*[3]Constants!$B$30)</f>
        <v>4.9000000000000004</v>
      </c>
    </row>
    <row r="307" spans="1:28" ht="14.5">
      <c r="A307" s="394">
        <f t="shared" si="11"/>
        <v>45230</v>
      </c>
      <c r="B307" s="338">
        <v>73.2</v>
      </c>
      <c r="C307" s="332">
        <v>29.408000000000001</v>
      </c>
      <c r="D307" s="308">
        <f>C307*[3]Constants!$B$19</f>
        <v>995.87251199999992</v>
      </c>
      <c r="E307" s="309" t="s">
        <v>103</v>
      </c>
      <c r="F307" s="310">
        <f>100*((([3]Constants!$B$25*EXP(([3]Constants!$B$24*J307)/(J307+[3]Constants!$B$23)))-0.8*(H307-J307))/([3]Constants!$B$25*EXP(([3]Constants!$B$24*H307)/(H307+[3]Constants!$B$23))))</f>
        <v>91.238519983736026</v>
      </c>
      <c r="G307" s="311">
        <f>([3]Constants!$B$23*LN((([3]Constants!$B$25*EXP(([3]Constants!$B$24*J307)/(J307+[3]Constants!$B$23)))-0.8*(H307-J307))/[3]Constants!$B$25))/([3]Constants!$B$24-LN((([3]Constants!$B$25*EXP(([3]Constants!$B$24*J307)/(J307+[3]Constants!$B$23)))-0.8*(H307-J307))/[3]Constants!$B$25))</f>
        <v>9.824984217903296</v>
      </c>
      <c r="H307" s="338">
        <v>11.2</v>
      </c>
      <c r="I307" s="314">
        <v>11.1</v>
      </c>
      <c r="J307" s="314">
        <v>10.5</v>
      </c>
      <c r="K307" s="314">
        <v>13.5</v>
      </c>
      <c r="L307" s="313" t="s">
        <v>103</v>
      </c>
      <c r="M307" s="43">
        <f t="shared" si="10"/>
        <v>10.199999999999999</v>
      </c>
      <c r="N307" s="314">
        <v>6.9</v>
      </c>
      <c r="O307" s="314">
        <v>3.2</v>
      </c>
      <c r="P307" s="314">
        <v>4.9000000000000004</v>
      </c>
      <c r="Q307" s="313" t="s">
        <v>103</v>
      </c>
      <c r="R307" s="314">
        <v>11.2</v>
      </c>
      <c r="S307" s="314">
        <v>13.6</v>
      </c>
      <c r="T307" s="314">
        <v>8</v>
      </c>
      <c r="U307" s="342">
        <v>2</v>
      </c>
      <c r="V307" s="339"/>
      <c r="W307" s="308">
        <v>3.4</v>
      </c>
      <c r="X307" s="339">
        <v>8</v>
      </c>
      <c r="Y307" s="339">
        <v>3</v>
      </c>
      <c r="Z307" s="335" t="s">
        <v>82</v>
      </c>
      <c r="AA307" s="336">
        <v>8</v>
      </c>
      <c r="AB307" s="322">
        <f>AA307-(AA307*[3]Constants!$B$30)</f>
        <v>5.6</v>
      </c>
    </row>
    <row r="308" spans="1:28" ht="14.5">
      <c r="A308" s="394">
        <f t="shared" si="11"/>
        <v>45231</v>
      </c>
      <c r="B308" s="390">
        <v>72.900000000000006</v>
      </c>
      <c r="C308" s="307">
        <v>29.09</v>
      </c>
      <c r="D308" s="308">
        <f>C308*[4]Constants!$B$19</f>
        <v>985.10375999999997</v>
      </c>
      <c r="E308" s="309" t="s">
        <v>103</v>
      </c>
      <c r="F308" s="310">
        <f>100*((([4]Constants!$B$25*EXP(([4]Constants!$B$24*J308)/(J308+[4]Constants!$B$23)))-0.8*(H308-J308))/([4]Constants!$B$25*EXP(([4]Constants!$B$24*H308)/(H308+[4]Constants!$B$23))))</f>
        <v>85.810779273340472</v>
      </c>
      <c r="G308" s="311">
        <f>([4]Constants!$B$23*LN((([4]Constants!$B$25*EXP(([4]Constants!$B$24*J308)/(J308+[4]Constants!$B$23)))-0.8*(H308-J308))/[4]Constants!$B$25))/([4]Constants!$B$24-LN((([4]Constants!$B$25*EXP(([4]Constants!$B$24*J308)/(J308+[4]Constants!$B$23)))-0.8*(H308-J308))/[4]Constants!$B$25))</f>
        <v>10.288415253189726</v>
      </c>
      <c r="H308" s="312">
        <v>12.6</v>
      </c>
      <c r="I308" s="313">
        <v>12.6</v>
      </c>
      <c r="J308" s="314">
        <v>11.4</v>
      </c>
      <c r="K308" s="313">
        <v>13.6</v>
      </c>
      <c r="L308" s="313" t="s">
        <v>103</v>
      </c>
      <c r="M308" s="43">
        <f t="shared" si="10"/>
        <v>11.95</v>
      </c>
      <c r="N308" s="313">
        <v>10.3</v>
      </c>
      <c r="O308" s="250">
        <v>2.8</v>
      </c>
      <c r="P308" s="315">
        <v>9.1999999999999993</v>
      </c>
      <c r="Q308" s="316" t="s">
        <v>103</v>
      </c>
      <c r="R308" s="316">
        <v>11.6</v>
      </c>
      <c r="S308" s="316">
        <v>13.5</v>
      </c>
      <c r="T308" s="317">
        <v>18.600000000000001</v>
      </c>
      <c r="U308" s="318">
        <v>1</v>
      </c>
      <c r="V308" s="319"/>
      <c r="W308" s="316">
        <v>2.5</v>
      </c>
      <c r="X308" s="318">
        <v>8</v>
      </c>
      <c r="Y308" s="318">
        <v>8</v>
      </c>
      <c r="Z308" s="320" t="s">
        <v>82</v>
      </c>
      <c r="AA308" s="321">
        <v>14</v>
      </c>
      <c r="AB308" s="322">
        <f>AA308-(AA308*[4]Constants!$B$30)</f>
        <v>9.8000000000000007</v>
      </c>
    </row>
    <row r="309" spans="1:28" ht="14.5">
      <c r="A309" s="394">
        <f t="shared" si="11"/>
        <v>45232</v>
      </c>
      <c r="B309" s="376">
        <v>72.8</v>
      </c>
      <c r="C309" s="370">
        <v>28.244</v>
      </c>
      <c r="D309" s="308">
        <f>C309*[4]Constants!$B$19</f>
        <v>956.45481599999994</v>
      </c>
      <c r="E309" s="308" t="s">
        <v>103</v>
      </c>
      <c r="F309" s="310">
        <f>100*((([4]Constants!$B$25*EXP(([4]Constants!$B$24*J309)/(J309+[4]Constants!$B$23)))-0.8*(H309-J309))/([4]Constants!$B$25*EXP(([4]Constants!$B$24*H309)/(H309+[4]Constants!$B$23))))</f>
        <v>98.645462633690855</v>
      </c>
      <c r="G309" s="311">
        <f>([4]Constants!$B$23*LN((([4]Constants!$B$25*EXP(([4]Constants!$B$24*J309)/(J309+[4]Constants!$B$23)))-0.8*(H309-J309))/[4]Constants!$B$25))/([4]Constants!$B$24-LN((([4]Constants!$B$25*EXP(([4]Constants!$B$24*J309)/(J309+[4]Constants!$B$23)))-0.8*(H309-J309))/[4]Constants!$B$25))</f>
        <v>9.0975956535570806</v>
      </c>
      <c r="H309" s="338">
        <v>9.3000000000000007</v>
      </c>
      <c r="I309" s="314">
        <v>9.5</v>
      </c>
      <c r="J309" s="314">
        <v>9.1999999999999993</v>
      </c>
      <c r="K309" s="314">
        <v>10.8</v>
      </c>
      <c r="L309" s="313" t="s">
        <v>103</v>
      </c>
      <c r="M309" s="43">
        <f t="shared" si="10"/>
        <v>9.1000000000000014</v>
      </c>
      <c r="N309" s="314">
        <v>7.4</v>
      </c>
      <c r="O309" s="314">
        <v>4.3</v>
      </c>
      <c r="P309" s="314">
        <v>6.4</v>
      </c>
      <c r="Q309" s="314" t="s">
        <v>103</v>
      </c>
      <c r="R309" s="314">
        <v>11.5</v>
      </c>
      <c r="S309" s="314">
        <v>13.4</v>
      </c>
      <c r="T309" s="308">
        <v>3.2</v>
      </c>
      <c r="U309" s="339">
        <v>2</v>
      </c>
      <c r="V309" s="319"/>
      <c r="W309" s="314">
        <v>0.3</v>
      </c>
      <c r="X309" s="339">
        <v>7</v>
      </c>
      <c r="Y309" s="339">
        <v>8</v>
      </c>
      <c r="Z309" s="335" t="s">
        <v>82</v>
      </c>
      <c r="AA309" s="336">
        <v>10</v>
      </c>
      <c r="AB309" s="322">
        <f>AA309-(AA309*[4]Constants!$B$30)</f>
        <v>7</v>
      </c>
    </row>
    <row r="310" spans="1:28" ht="14.5">
      <c r="A310" s="394">
        <f t="shared" si="11"/>
        <v>45233</v>
      </c>
      <c r="B310" s="362">
        <v>71.599999999999994</v>
      </c>
      <c r="C310" s="332">
        <v>28.86</v>
      </c>
      <c r="D310" s="308">
        <f>C310*[4]Constants!$B$19</f>
        <v>977.31503999999995</v>
      </c>
      <c r="E310" s="309" t="s">
        <v>103</v>
      </c>
      <c r="F310" s="310">
        <f>100*((([4]Constants!$B$25*EXP(([4]Constants!$B$24*J310)/(J310+[4]Constants!$B$23)))-0.8*(H310-J310))/([4]Constants!$B$25*EXP(([4]Constants!$B$24*H310)/(H310+[4]Constants!$B$23))))</f>
        <v>85.030372786373576</v>
      </c>
      <c r="G310" s="311">
        <f>([4]Constants!$B$23*LN((([4]Constants!$B$25*EXP(([4]Constants!$B$24*J310)/(J310+[4]Constants!$B$23)))-0.8*(H310-J310))/[4]Constants!$B$25))/([4]Constants!$B$24-LN((([4]Constants!$B$25*EXP(([4]Constants!$B$24*J310)/(J310+[4]Constants!$B$23)))-0.8*(H310-J310))/[4]Constants!$B$25))</f>
        <v>6.4235042838007965</v>
      </c>
      <c r="H310" s="338">
        <v>8.8000000000000007</v>
      </c>
      <c r="I310" s="314">
        <v>8.8000000000000007</v>
      </c>
      <c r="J310" s="334">
        <v>7.7</v>
      </c>
      <c r="K310" s="314">
        <v>13.2</v>
      </c>
      <c r="L310" s="313" t="s">
        <v>103</v>
      </c>
      <c r="M310" s="43">
        <f t="shared" si="10"/>
        <v>10.149999999999999</v>
      </c>
      <c r="N310" s="314">
        <v>7.1</v>
      </c>
      <c r="O310" s="314">
        <v>4.5999999999999996</v>
      </c>
      <c r="P310" s="314">
        <v>5.4</v>
      </c>
      <c r="Q310" s="314" t="s">
        <v>103</v>
      </c>
      <c r="R310" s="314">
        <v>11.2</v>
      </c>
      <c r="S310" s="314">
        <v>13.2</v>
      </c>
      <c r="T310" s="308">
        <v>6.8</v>
      </c>
      <c r="U310" s="339">
        <v>1</v>
      </c>
      <c r="V310" s="319"/>
      <c r="W310" s="314">
        <v>2.8</v>
      </c>
      <c r="X310" s="339">
        <v>6</v>
      </c>
      <c r="Y310" s="339">
        <v>8</v>
      </c>
      <c r="Z310" s="335" t="s">
        <v>89</v>
      </c>
      <c r="AA310" s="336">
        <v>10</v>
      </c>
      <c r="AB310" s="322">
        <f>AA310-(AA310*[4]Constants!$B$30)</f>
        <v>7</v>
      </c>
    </row>
    <row r="311" spans="1:28" ht="14.5">
      <c r="A311" s="394">
        <f t="shared" si="11"/>
        <v>45234</v>
      </c>
      <c r="B311" s="362">
        <v>72.400000000000006</v>
      </c>
      <c r="C311" s="332">
        <v>28.454000000000001</v>
      </c>
      <c r="D311" s="308">
        <f>C311*[4]Constants!$B$19</f>
        <v>963.56625599999995</v>
      </c>
      <c r="E311" s="308" t="s">
        <v>103</v>
      </c>
      <c r="F311" s="310">
        <f>100*((([4]Constants!$B$25*EXP(([4]Constants!$B$24*J311)/(J311+[4]Constants!$B$23)))-0.8*(H311-J311))/([4]Constants!$B$25*EXP(([4]Constants!$B$24*H311)/(H311+[4]Constants!$B$23))))</f>
        <v>92.83401986976169</v>
      </c>
      <c r="G311" s="311">
        <f>([4]Constants!$B$23*LN((([4]Constants!$B$25*EXP(([4]Constants!$B$24*J311)/(J311+[4]Constants!$B$23)))-0.8*(H311-J311))/[4]Constants!$B$25))/([4]Constants!$B$24-LN((([4]Constants!$B$25*EXP(([4]Constants!$B$24*J311)/(J311+[4]Constants!$B$23)))-0.8*(H311-J311))/[4]Constants!$B$25))</f>
        <v>6.6142134230377936</v>
      </c>
      <c r="H311" s="333">
        <v>7.7</v>
      </c>
      <c r="I311" s="333">
        <v>7.8</v>
      </c>
      <c r="J311" s="308">
        <v>7.2</v>
      </c>
      <c r="K311" s="314">
        <v>13.3</v>
      </c>
      <c r="L311" s="313" t="s">
        <v>103</v>
      </c>
      <c r="M311" s="43">
        <f t="shared" si="10"/>
        <v>9.1000000000000014</v>
      </c>
      <c r="N311" s="314">
        <v>4.9000000000000004</v>
      </c>
      <c r="O311" s="314">
        <v>1.3</v>
      </c>
      <c r="P311" s="314">
        <v>3.8</v>
      </c>
      <c r="Q311" s="314" t="s">
        <v>103</v>
      </c>
      <c r="R311" s="308">
        <v>10.6</v>
      </c>
      <c r="S311" s="314">
        <v>13.1</v>
      </c>
      <c r="T311" s="308">
        <v>1</v>
      </c>
      <c r="U311" s="334">
        <v>1</v>
      </c>
      <c r="V311" s="319"/>
      <c r="W311" s="253">
        <v>2.6</v>
      </c>
      <c r="X311" s="334">
        <v>8</v>
      </c>
      <c r="Y311" s="334">
        <v>8</v>
      </c>
      <c r="Z311" s="335" t="s">
        <v>99</v>
      </c>
      <c r="AA311" s="336">
        <v>13</v>
      </c>
      <c r="AB311" s="322">
        <f>AA311-(AA311*[4]Constants!$B$30)</f>
        <v>9.1</v>
      </c>
    </row>
    <row r="312" spans="1:28" ht="14.5">
      <c r="A312" s="394">
        <f t="shared" si="11"/>
        <v>45235</v>
      </c>
      <c r="B312" s="338">
        <v>72.599999999999994</v>
      </c>
      <c r="C312" s="337">
        <v>28.826000000000001</v>
      </c>
      <c r="D312" s="308">
        <f>C312*[4]Constants!$B$19</f>
        <v>976.16366399999993</v>
      </c>
      <c r="E312" s="309" t="s">
        <v>103</v>
      </c>
      <c r="F312" s="310">
        <f>100*((([4]Constants!$B$25*EXP(([4]Constants!$B$24*J312)/(J312+[4]Constants!$B$23)))-0.8*(H312-J312))/([4]Constants!$B$25*EXP(([4]Constants!$B$24*H312)/(H312+[4]Constants!$B$23))))</f>
        <v>68.909898812076349</v>
      </c>
      <c r="G312" s="311">
        <f>([4]Constants!$B$23*LN((([4]Constants!$B$25*EXP(([4]Constants!$B$24*J312)/(J312+[4]Constants!$B$23)))-0.8*(H312-J312))/[4]Constants!$B$25))/([4]Constants!$B$24-LN((([4]Constants!$B$25*EXP(([4]Constants!$B$24*J312)/(J312+[4]Constants!$B$23)))-0.8*(H312-J312))/[4]Constants!$B$25))</f>
        <v>4.1748270175767583</v>
      </c>
      <c r="H312" s="338">
        <v>9.6</v>
      </c>
      <c r="I312" s="314">
        <v>9.9</v>
      </c>
      <c r="J312" s="314">
        <v>7.2</v>
      </c>
      <c r="K312" s="314">
        <v>13</v>
      </c>
      <c r="L312" s="313" t="s">
        <v>103</v>
      </c>
      <c r="M312" s="43">
        <f t="shared" si="10"/>
        <v>8.8000000000000007</v>
      </c>
      <c r="N312" s="314">
        <v>4.5999999999999996</v>
      </c>
      <c r="O312" s="314">
        <v>2.6</v>
      </c>
      <c r="P312" s="314">
        <v>3.6</v>
      </c>
      <c r="Q312" s="314" t="s">
        <v>103</v>
      </c>
      <c r="R312" s="314">
        <v>10.3</v>
      </c>
      <c r="S312" s="314">
        <v>12.9</v>
      </c>
      <c r="T312" s="308">
        <v>0.1</v>
      </c>
      <c r="U312" s="339">
        <v>1</v>
      </c>
      <c r="V312" s="319"/>
      <c r="W312" s="314">
        <v>5.3</v>
      </c>
      <c r="X312" s="339">
        <v>8</v>
      </c>
      <c r="Y312" s="339">
        <v>6</v>
      </c>
      <c r="Z312" s="335" t="s">
        <v>82</v>
      </c>
      <c r="AA312" s="336">
        <v>15</v>
      </c>
      <c r="AB312" s="322">
        <f>AA312-(AA312*[4]Constants!$B$30)</f>
        <v>10.5</v>
      </c>
    </row>
    <row r="313" spans="1:28" ht="14.5">
      <c r="A313" s="394">
        <f t="shared" si="11"/>
        <v>45236</v>
      </c>
      <c r="B313" s="338">
        <v>71.900000000000006</v>
      </c>
      <c r="C313" s="337">
        <v>29.312000000000001</v>
      </c>
      <c r="D313" s="308">
        <f>C313*[4]Constants!$B$19</f>
        <v>992.62156799999991</v>
      </c>
      <c r="E313" s="308" t="s">
        <v>103</v>
      </c>
      <c r="F313" s="310">
        <f>100*((([4]Constants!$B$25*EXP(([4]Constants!$B$24*J313)/(J313+[4]Constants!$B$23)))-0.8*(H313-J313))/([4]Constants!$B$25*EXP(([4]Constants!$B$24*H313)/(H313+[4]Constants!$B$23))))</f>
        <v>81.02889615703404</v>
      </c>
      <c r="G313" s="311">
        <f>([4]Constants!$B$23*LN((([4]Constants!$B$25*EXP(([4]Constants!$B$24*J313)/(J313+[4]Constants!$B$23)))-0.8*(H313-J313))/[4]Constants!$B$25))/([4]Constants!$B$24-LN((([4]Constants!$B$25*EXP(([4]Constants!$B$24*J313)/(J313+[4]Constants!$B$23)))-0.8*(H313-J313))/[4]Constants!$B$25))</f>
        <v>5.7256967675499455</v>
      </c>
      <c r="H313" s="338">
        <v>8.8000000000000007</v>
      </c>
      <c r="I313" s="314">
        <v>9</v>
      </c>
      <c r="J313" s="314">
        <v>7.4</v>
      </c>
      <c r="K313" s="314">
        <v>13</v>
      </c>
      <c r="L313" s="313" t="s">
        <v>103</v>
      </c>
      <c r="M313" s="43">
        <f t="shared" si="10"/>
        <v>9.65</v>
      </c>
      <c r="N313" s="314">
        <v>6.3</v>
      </c>
      <c r="O313" s="314">
        <v>2.6</v>
      </c>
      <c r="P313" s="314">
        <v>3.8</v>
      </c>
      <c r="Q313" s="314" t="s">
        <v>103</v>
      </c>
      <c r="R313" s="314">
        <v>10.199999999999999</v>
      </c>
      <c r="S313" s="314">
        <v>12.8</v>
      </c>
      <c r="T313" s="308" t="s">
        <v>93</v>
      </c>
      <c r="U313" s="339">
        <v>1</v>
      </c>
      <c r="V313" s="340"/>
      <c r="W313" s="314">
        <v>7.4</v>
      </c>
      <c r="X313" s="339">
        <v>8</v>
      </c>
      <c r="Y313" s="339">
        <v>2</v>
      </c>
      <c r="Z313" s="335" t="s">
        <v>82</v>
      </c>
      <c r="AA313" s="336">
        <v>11</v>
      </c>
      <c r="AB313" s="322">
        <f>AA313-(AA313*[4]Constants!$B$30)</f>
        <v>7.7</v>
      </c>
    </row>
    <row r="314" spans="1:28" ht="14.5">
      <c r="A314" s="394">
        <f t="shared" si="11"/>
        <v>45237</v>
      </c>
      <c r="B314" s="338">
        <v>71</v>
      </c>
      <c r="C314" s="337">
        <v>29.59</v>
      </c>
      <c r="D314" s="308">
        <f>C314*[4]Constants!$B$19</f>
        <v>1002.0357599999999</v>
      </c>
      <c r="E314" s="309" t="s">
        <v>103</v>
      </c>
      <c r="F314" s="310">
        <f>100*((([4]Constants!$B$25*EXP(([4]Constants!$B$24*J314)/(J314+[4]Constants!$B$23)))-0.8*(H314-J314))/([4]Constants!$B$25*EXP(([4]Constants!$B$24*H314)/(H314+[4]Constants!$B$23))))</f>
        <v>86.211714866768659</v>
      </c>
      <c r="G314" s="311">
        <f>([4]Constants!$B$23*LN((([4]Constants!$B$25*EXP(([4]Constants!$B$24*J314)/(J314+[4]Constants!$B$23)))-0.8*(H314-J314))/[4]Constants!$B$25))/([4]Constants!$B$24-LN((([4]Constants!$B$25*EXP(([4]Constants!$B$24*J314)/(J314+[4]Constants!$B$23)))-0.8*(H314-J314))/[4]Constants!$B$25))</f>
        <v>6.3291143782132693</v>
      </c>
      <c r="H314" s="338">
        <v>8.5</v>
      </c>
      <c r="I314" s="314">
        <v>8.5</v>
      </c>
      <c r="J314" s="314">
        <v>7.5</v>
      </c>
      <c r="K314" s="314">
        <v>12.8</v>
      </c>
      <c r="L314" s="313" t="s">
        <v>103</v>
      </c>
      <c r="M314" s="43">
        <f t="shared" si="10"/>
        <v>9.1999999999999993</v>
      </c>
      <c r="N314" s="308">
        <v>5.6</v>
      </c>
      <c r="O314" s="314">
        <v>2.8</v>
      </c>
      <c r="P314" s="314">
        <v>3</v>
      </c>
      <c r="Q314" s="314" t="s">
        <v>103</v>
      </c>
      <c r="R314" s="314">
        <v>9.5</v>
      </c>
      <c r="S314" s="314">
        <v>12.7</v>
      </c>
      <c r="T314" s="308">
        <v>1.9</v>
      </c>
      <c r="U314" s="339">
        <v>1</v>
      </c>
      <c r="V314" s="341"/>
      <c r="W314" s="314">
        <v>6.2</v>
      </c>
      <c r="X314" s="342">
        <v>8</v>
      </c>
      <c r="Y314" s="342">
        <v>1</v>
      </c>
      <c r="Z314" s="335" t="s">
        <v>82</v>
      </c>
      <c r="AA314" s="336">
        <v>12</v>
      </c>
      <c r="AB314" s="322">
        <f>AA314-(AA314*[4]Constants!$B$30)</f>
        <v>8.4</v>
      </c>
    </row>
    <row r="315" spans="1:28" ht="14.5">
      <c r="A315" s="394">
        <f t="shared" si="11"/>
        <v>45238</v>
      </c>
      <c r="B315" s="338">
        <v>71.400000000000006</v>
      </c>
      <c r="C315" s="337">
        <v>29.45</v>
      </c>
      <c r="D315" s="308">
        <f>C315*[4]Constants!$B$19</f>
        <v>997.2947999999999</v>
      </c>
      <c r="E315" s="308" t="s">
        <v>103</v>
      </c>
      <c r="F315" s="310">
        <f>100*((([4]Constants!$B$25*EXP(([4]Constants!$B$24*J315)/(J315+[4]Constants!$B$23)))-0.8*(H315-J315))/([4]Constants!$B$25*EXP(([4]Constants!$B$24*H315)/(H315+[4]Constants!$B$23))))</f>
        <v>94.934352981476493</v>
      </c>
      <c r="G315" s="311">
        <f>([4]Constants!$B$23*LN((([4]Constants!$B$25*EXP(([4]Constants!$B$24*J315)/(J315+[4]Constants!$B$23)))-0.8*(H315-J315))/[4]Constants!$B$25))/([4]Constants!$B$24-LN((([4]Constants!$B$25*EXP(([4]Constants!$B$24*J315)/(J315+[4]Constants!$B$23)))-0.8*(H315-J315))/[4]Constants!$B$25))</f>
        <v>10.219844750553561</v>
      </c>
      <c r="H315" s="338">
        <v>11</v>
      </c>
      <c r="I315" s="314">
        <v>11</v>
      </c>
      <c r="J315" s="314">
        <v>10.6</v>
      </c>
      <c r="K315" s="314">
        <v>13.1</v>
      </c>
      <c r="L315" s="313" t="s">
        <v>103</v>
      </c>
      <c r="M315" s="43">
        <f t="shared" si="10"/>
        <v>9.35</v>
      </c>
      <c r="N315" s="314">
        <v>5.6</v>
      </c>
      <c r="O315" s="314">
        <v>1</v>
      </c>
      <c r="P315" s="314">
        <v>2.8</v>
      </c>
      <c r="Q315" s="314" t="s">
        <v>103</v>
      </c>
      <c r="R315" s="314">
        <v>9.1</v>
      </c>
      <c r="S315" s="314">
        <v>12.4</v>
      </c>
      <c r="T315" s="314">
        <v>0.4</v>
      </c>
      <c r="U315" s="339">
        <v>1</v>
      </c>
      <c r="V315" s="308"/>
      <c r="W315" s="308">
        <v>0.3</v>
      </c>
      <c r="X315" s="339">
        <v>7</v>
      </c>
      <c r="Y315" s="339">
        <v>8</v>
      </c>
      <c r="Z315" s="335" t="s">
        <v>90</v>
      </c>
      <c r="AA315" s="336">
        <v>14</v>
      </c>
      <c r="AB315" s="322">
        <f>AA315-(AA315*[4]Constants!$B$30)</f>
        <v>9.8000000000000007</v>
      </c>
    </row>
    <row r="316" spans="1:28" ht="14.5">
      <c r="A316" s="394">
        <f t="shared" si="11"/>
        <v>45239</v>
      </c>
      <c r="B316" s="338">
        <v>71.3</v>
      </c>
      <c r="C316" s="337">
        <v>29.312000000000001</v>
      </c>
      <c r="D316" s="308">
        <f>C316*[4]Constants!$B$19</f>
        <v>992.62156799999991</v>
      </c>
      <c r="E316" s="309" t="s">
        <v>103</v>
      </c>
      <c r="F316" s="310">
        <f>100*((([4]Constants!$B$25*EXP(([4]Constants!$B$24*J316)/(J316+[4]Constants!$B$23)))-0.8*(H316-J316))/([4]Constants!$B$25*EXP(([4]Constants!$B$24*H316)/(H316+[4]Constants!$B$23))))</f>
        <v>83.370731898378935</v>
      </c>
      <c r="G316" s="311">
        <f>([4]Constants!$B$23*LN((([4]Constants!$B$25*EXP(([4]Constants!$B$24*J316)/(J316+[4]Constants!$B$23)))-0.8*(H316-J316))/[4]Constants!$B$25))/([4]Constants!$B$24-LN((([4]Constants!$B$25*EXP(([4]Constants!$B$24*J316)/(J316+[4]Constants!$B$23)))-0.8*(H316-J316))/[4]Constants!$B$25))</f>
        <v>5.6481690079540599</v>
      </c>
      <c r="H316" s="338">
        <v>8.3000000000000007</v>
      </c>
      <c r="I316" s="314">
        <v>8.3000000000000007</v>
      </c>
      <c r="J316" s="314">
        <v>7.1</v>
      </c>
      <c r="K316" s="314">
        <v>10.6</v>
      </c>
      <c r="L316" s="313" t="s">
        <v>103</v>
      </c>
      <c r="M316" s="43">
        <f t="shared" si="10"/>
        <v>7.9499999999999993</v>
      </c>
      <c r="N316" s="314">
        <v>5.3</v>
      </c>
      <c r="O316" s="314">
        <v>1.6</v>
      </c>
      <c r="P316" s="314">
        <v>3.5</v>
      </c>
      <c r="Q316" s="314" t="s">
        <v>103</v>
      </c>
      <c r="R316" s="314">
        <v>9.3000000000000007</v>
      </c>
      <c r="S316" s="314">
        <v>12.2</v>
      </c>
      <c r="T316" s="314">
        <v>9.6</v>
      </c>
      <c r="U316" s="343">
        <v>1</v>
      </c>
      <c r="V316" s="344"/>
      <c r="W316" s="314">
        <v>3.9</v>
      </c>
      <c r="X316" s="339">
        <v>8</v>
      </c>
      <c r="Y316" s="339">
        <v>8</v>
      </c>
      <c r="Z316" s="335" t="s">
        <v>89</v>
      </c>
      <c r="AA316" s="336">
        <v>10</v>
      </c>
      <c r="AB316" s="322">
        <f>AA316-(AA316*[4]Constants!$B$30)</f>
        <v>7</v>
      </c>
    </row>
    <row r="317" spans="1:28" ht="14.5">
      <c r="A317" s="394">
        <f t="shared" si="11"/>
        <v>45240</v>
      </c>
      <c r="B317" s="390">
        <v>71.2</v>
      </c>
      <c r="C317" s="337">
        <v>29.172000000000001</v>
      </c>
      <c r="D317" s="308">
        <f>C317*[4]Constants!$B$19</f>
        <v>987.88060799999994</v>
      </c>
      <c r="E317" s="308" t="s">
        <v>103</v>
      </c>
      <c r="F317" s="310">
        <f>100*((([4]Constants!$B$25*EXP(([4]Constants!$B$24*J317)/(J317+[4]Constants!$B$23)))-0.8*(H317-J317))/([4]Constants!$B$25*EXP(([4]Constants!$B$24*H317)/(H317+[4]Constants!$B$23))))</f>
        <v>97.014984658055212</v>
      </c>
      <c r="G317" s="311">
        <f>([4]Constants!$B$23*LN((([4]Constants!$B$25*EXP(([4]Constants!$B$24*J317)/(J317+[4]Constants!$B$23)))-0.8*(H317-J317))/[4]Constants!$B$25))/([4]Constants!$B$24-LN((([4]Constants!$B$25*EXP(([4]Constants!$B$24*J317)/(J317+[4]Constants!$B$23)))-0.8*(H317-J317))/[4]Constants!$B$25))</f>
        <v>6.3595143491408379</v>
      </c>
      <c r="H317" s="338">
        <v>6.8</v>
      </c>
      <c r="I317" s="314">
        <v>6.9</v>
      </c>
      <c r="J317" s="314">
        <v>6.6</v>
      </c>
      <c r="K317" s="314">
        <v>9.3000000000000007</v>
      </c>
      <c r="L317" s="313" t="s">
        <v>103</v>
      </c>
      <c r="M317" s="43">
        <f t="shared" si="10"/>
        <v>7.4</v>
      </c>
      <c r="N317" s="314">
        <v>5.5</v>
      </c>
      <c r="O317" s="314">
        <v>4.5</v>
      </c>
      <c r="P317" s="314">
        <v>6.6</v>
      </c>
      <c r="Q317" s="314" t="s">
        <v>103</v>
      </c>
      <c r="R317" s="314">
        <v>9</v>
      </c>
      <c r="S317" s="314">
        <v>12</v>
      </c>
      <c r="T317" s="314">
        <v>0.4</v>
      </c>
      <c r="U317" s="339">
        <v>2</v>
      </c>
      <c r="V317" s="345"/>
      <c r="W317" s="308">
        <v>2.8</v>
      </c>
      <c r="X317" s="339">
        <v>7</v>
      </c>
      <c r="Y317" s="339">
        <v>8</v>
      </c>
      <c r="Z317" s="335" t="s">
        <v>99</v>
      </c>
      <c r="AA317" s="336">
        <v>0</v>
      </c>
      <c r="AB317" s="322">
        <f>AA317-(AA317*[4]Constants!$B$30)</f>
        <v>0</v>
      </c>
    </row>
    <row r="318" spans="1:28" ht="14.5">
      <c r="A318" s="394">
        <f t="shared" si="11"/>
        <v>45241</v>
      </c>
      <c r="B318" s="338">
        <v>71.3</v>
      </c>
      <c r="C318" s="332">
        <v>29.648</v>
      </c>
      <c r="D318" s="308">
        <f>C318*[4]Constants!$B$19</f>
        <v>1003.9998719999999</v>
      </c>
      <c r="E318" s="309" t="s">
        <v>103</v>
      </c>
      <c r="F318" s="310">
        <f>100*((([4]Constants!$B$25*EXP(([4]Constants!$B$24*J318)/(J318+[4]Constants!$B$23)))-0.8*(H318-J318))/([4]Constants!$B$25*EXP(([4]Constants!$B$24*H318)/(H318+[4]Constants!$B$23))))</f>
        <v>95.049402775012439</v>
      </c>
      <c r="G318" s="311">
        <f>([4]Constants!$B$23*LN((([4]Constants!$B$25*EXP(([4]Constants!$B$24*J318)/(J318+[4]Constants!$B$23)))-0.8*(H318-J318))/[4]Constants!$B$25))/([4]Constants!$B$24-LN((([4]Constants!$B$25*EXP(([4]Constants!$B$24*J318)/(J318+[4]Constants!$B$23)))-0.8*(H318-J318))/[4]Constants!$B$25))</f>
        <v>3.6769219453155024</v>
      </c>
      <c r="H318" s="338">
        <v>4.4000000000000004</v>
      </c>
      <c r="I318" s="314">
        <v>4.5999999999999996</v>
      </c>
      <c r="J318" s="314">
        <v>4.0999999999999996</v>
      </c>
      <c r="K318" s="371">
        <v>10.7</v>
      </c>
      <c r="L318" s="313" t="s">
        <v>103</v>
      </c>
      <c r="M318" s="43">
        <f t="shared" si="10"/>
        <v>6.5</v>
      </c>
      <c r="N318" s="314">
        <v>2.2999999999999998</v>
      </c>
      <c r="O318" s="314">
        <v>0.2</v>
      </c>
      <c r="P318" s="316">
        <v>0.1</v>
      </c>
      <c r="Q318" s="313" t="s">
        <v>103</v>
      </c>
      <c r="R318" s="314">
        <v>8.3000000000000007</v>
      </c>
      <c r="S318" s="314">
        <v>11.9</v>
      </c>
      <c r="T318" s="314" t="s">
        <v>93</v>
      </c>
      <c r="U318" s="339">
        <v>1</v>
      </c>
      <c r="V318" s="344"/>
      <c r="W318" s="314">
        <v>5</v>
      </c>
      <c r="X318" s="339">
        <v>8</v>
      </c>
      <c r="Y318" s="339">
        <v>0</v>
      </c>
      <c r="Z318" s="335" t="s">
        <v>82</v>
      </c>
      <c r="AA318" s="336">
        <v>8</v>
      </c>
      <c r="AB318" s="322">
        <f>AA318-(AA318*[4]Constants!$B$30)</f>
        <v>5.6</v>
      </c>
    </row>
    <row r="319" spans="1:28" ht="14.5">
      <c r="A319" s="394">
        <f t="shared" si="11"/>
        <v>45242</v>
      </c>
      <c r="B319" s="338">
        <v>71.3</v>
      </c>
      <c r="C319" s="332">
        <v>29.521999999999998</v>
      </c>
      <c r="D319" s="308">
        <f>C319*[4]Constants!$B$19</f>
        <v>999.73300799999981</v>
      </c>
      <c r="E319" s="308" t="s">
        <v>103</v>
      </c>
      <c r="F319" s="310">
        <f>100*((([4]Constants!$B$25*EXP(([4]Constants!$B$24*J319)/(J319+[4]Constants!$B$23)))-0.8*(H319-J319))/([4]Constants!$B$25*EXP(([4]Constants!$B$24*H319)/(H319+[4]Constants!$B$23))))</f>
        <v>98.338209766634549</v>
      </c>
      <c r="G319" s="311">
        <f>([4]Constants!$B$23*LN((([4]Constants!$B$25*EXP(([4]Constants!$B$24*J319)/(J319+[4]Constants!$B$23)))-0.8*(H319-J319))/[4]Constants!$B$25))/([4]Constants!$B$24-LN((([4]Constants!$B$25*EXP(([4]Constants!$B$24*J319)/(J319+[4]Constants!$B$23)))-0.8*(H319-J319))/[4]Constants!$B$25))</f>
        <v>4.0610769104381044</v>
      </c>
      <c r="H319" s="338">
        <v>4.3</v>
      </c>
      <c r="I319" s="314">
        <v>4.3</v>
      </c>
      <c r="J319" s="314">
        <v>4.2</v>
      </c>
      <c r="K319" s="314">
        <v>15.1</v>
      </c>
      <c r="L319" s="313" t="s">
        <v>103</v>
      </c>
      <c r="M319" s="43">
        <f t="shared" si="10"/>
        <v>8.25</v>
      </c>
      <c r="N319" s="314">
        <v>1.4</v>
      </c>
      <c r="O319" s="314">
        <v>-0.6</v>
      </c>
      <c r="P319" s="314">
        <v>-0.9</v>
      </c>
      <c r="Q319" s="313" t="s">
        <v>103</v>
      </c>
      <c r="R319" s="314">
        <v>8.3000000000000007</v>
      </c>
      <c r="S319" s="314">
        <v>11.7</v>
      </c>
      <c r="T319" s="314">
        <v>18.5</v>
      </c>
      <c r="U319" s="339">
        <v>1</v>
      </c>
      <c r="V319" s="314"/>
      <c r="W319" s="314">
        <v>1.1000000000000001</v>
      </c>
      <c r="X319" s="339">
        <v>7</v>
      </c>
      <c r="Y319" s="339">
        <v>8</v>
      </c>
      <c r="Z319" s="335" t="s">
        <v>98</v>
      </c>
      <c r="AA319" s="336">
        <v>0</v>
      </c>
      <c r="AB319" s="322">
        <f>AA319-(AA319*[4]Constants!$B$30)</f>
        <v>0</v>
      </c>
    </row>
    <row r="320" spans="1:28" ht="14.5">
      <c r="A320" s="394">
        <f t="shared" si="11"/>
        <v>45243</v>
      </c>
      <c r="B320" s="338">
        <v>71.900000000000006</v>
      </c>
      <c r="C320" s="332">
        <v>29.276</v>
      </c>
      <c r="D320" s="308">
        <f>C320*[4]Constants!$B$19</f>
        <v>991.4024639999999</v>
      </c>
      <c r="E320" s="309" t="s">
        <v>103</v>
      </c>
      <c r="F320" s="310">
        <f>100*((([4]Constants!$B$25*EXP(([4]Constants!$B$24*J320)/(J320+[4]Constants!$B$23)))-0.8*(H320-J320))/([4]Constants!$B$25*EXP(([4]Constants!$B$24*H320)/(H320+[4]Constants!$B$23))))</f>
        <v>69.276123057658168</v>
      </c>
      <c r="G320" s="311">
        <f>([4]Constants!$B$23*LN((([4]Constants!$B$25*EXP(([4]Constants!$B$24*J320)/(J320+[4]Constants!$B$23)))-0.8*(H320-J320))/[4]Constants!$B$25))/([4]Constants!$B$24-LN((([4]Constants!$B$25*EXP(([4]Constants!$B$24*J320)/(J320+[4]Constants!$B$23)))-0.8*(H320-J320))/[4]Constants!$B$25))</f>
        <v>9.5179579200797697</v>
      </c>
      <c r="H320" s="338">
        <v>15.1</v>
      </c>
      <c r="I320" s="314">
        <v>15.1</v>
      </c>
      <c r="J320" s="314">
        <v>12.2</v>
      </c>
      <c r="K320" s="314">
        <v>15.5</v>
      </c>
      <c r="L320" s="313" t="s">
        <v>103</v>
      </c>
      <c r="M320" s="43">
        <f t="shared" si="10"/>
        <v>9.9</v>
      </c>
      <c r="N320" s="314">
        <v>4.3</v>
      </c>
      <c r="O320" s="314">
        <v>4.2</v>
      </c>
      <c r="P320" s="314">
        <v>4.2</v>
      </c>
      <c r="Q320" s="313" t="s">
        <v>103</v>
      </c>
      <c r="R320" s="314">
        <v>8.1999999999999993</v>
      </c>
      <c r="S320" s="314">
        <v>11.4</v>
      </c>
      <c r="T320" s="314">
        <v>1.5</v>
      </c>
      <c r="U320" s="339">
        <v>2</v>
      </c>
      <c r="V320" s="319"/>
      <c r="W320" s="314">
        <v>5</v>
      </c>
      <c r="X320" s="339">
        <v>8</v>
      </c>
      <c r="Y320" s="339">
        <v>6</v>
      </c>
      <c r="Z320" s="335" t="s">
        <v>82</v>
      </c>
      <c r="AA320" s="336">
        <v>32</v>
      </c>
      <c r="AB320" s="322">
        <f>AA320-(AA320*[4]Constants!$B$30)</f>
        <v>22.4</v>
      </c>
    </row>
    <row r="321" spans="1:28" ht="14.5">
      <c r="A321" s="394">
        <f t="shared" si="11"/>
        <v>45244</v>
      </c>
      <c r="B321" s="338">
        <v>72.2</v>
      </c>
      <c r="C321" s="332">
        <v>29.44</v>
      </c>
      <c r="D321" s="308">
        <f>C321*[4]Constants!$B$19</f>
        <v>996.95615999999995</v>
      </c>
      <c r="E321" s="308" t="s">
        <v>103</v>
      </c>
      <c r="F321" s="310">
        <f>100*((([4]Constants!$B$25*EXP(([4]Constants!$B$24*J321)/(J321+[4]Constants!$B$23)))-0.8*(H321-J321))/([4]Constants!$B$25*EXP(([4]Constants!$B$24*H321)/(H321+[4]Constants!$B$23))))</f>
        <v>83.757878983381644</v>
      </c>
      <c r="G321" s="311">
        <f>([4]Constants!$B$23*LN((([4]Constants!$B$25*EXP(([4]Constants!$B$24*J321)/(J321+[4]Constants!$B$23)))-0.8*(H321-J321))/[4]Constants!$B$25))/([4]Constants!$B$24-LN((([4]Constants!$B$25*EXP(([4]Constants!$B$24*J321)/(J321+[4]Constants!$B$23)))-0.8*(H321-J321))/[4]Constants!$B$25))</f>
        <v>8.3595840149736453</v>
      </c>
      <c r="H321" s="338">
        <v>11</v>
      </c>
      <c r="I321" s="314">
        <v>11</v>
      </c>
      <c r="J321" s="314">
        <v>9.6999999999999993</v>
      </c>
      <c r="K321" s="314">
        <v>11.2</v>
      </c>
      <c r="L321" s="313" t="s">
        <v>103</v>
      </c>
      <c r="M321" s="43">
        <f t="shared" si="10"/>
        <v>10.8</v>
      </c>
      <c r="N321" s="314">
        <v>10.4</v>
      </c>
      <c r="O321" s="314">
        <v>6.9</v>
      </c>
      <c r="P321" s="314">
        <v>7.6</v>
      </c>
      <c r="Q321" s="313" t="s">
        <v>103</v>
      </c>
      <c r="R321" s="314">
        <v>9.1</v>
      </c>
      <c r="S321" s="314">
        <v>11.2</v>
      </c>
      <c r="T321" s="314">
        <v>0.8</v>
      </c>
      <c r="U321" s="339">
        <v>1</v>
      </c>
      <c r="V321" s="319"/>
      <c r="W321" s="314">
        <v>1.75</v>
      </c>
      <c r="X321" s="339">
        <v>8</v>
      </c>
      <c r="Y321" s="339">
        <v>8</v>
      </c>
      <c r="Z321" s="335" t="s">
        <v>82</v>
      </c>
      <c r="AA321" s="336">
        <v>10</v>
      </c>
      <c r="AB321" s="322">
        <f>AA321-(AA321*[4]Constants!$B$30)</f>
        <v>7</v>
      </c>
    </row>
    <row r="322" spans="1:28" ht="14.5">
      <c r="A322" s="394">
        <f t="shared" si="11"/>
        <v>45245</v>
      </c>
      <c r="B322" s="349">
        <v>73.900000000000006</v>
      </c>
      <c r="C322" s="332">
        <v>29.873999999999999</v>
      </c>
      <c r="D322" s="308">
        <f>C322*[4]Constants!$B$19</f>
        <v>1011.6531359999999</v>
      </c>
      <c r="E322" s="309" t="s">
        <v>103</v>
      </c>
      <c r="F322" s="310">
        <f>100*((([4]Constants!$B$25*EXP(([4]Constants!$B$24*J322)/(J322+[4]Constants!$B$23)))-0.8*(H322-J322))/([4]Constants!$B$25*EXP(([4]Constants!$B$24*H322)/(H322+[4]Constants!$B$23))))</f>
        <v>86.528574816140207</v>
      </c>
      <c r="G322" s="311">
        <f>([4]Constants!$B$23*LN((([4]Constants!$B$25*EXP(([4]Constants!$B$24*J322)/(J322+[4]Constants!$B$23)))-0.8*(H322-J322))/[4]Constants!$B$25))/([4]Constants!$B$24-LN((([4]Constants!$B$25*EXP(([4]Constants!$B$24*J322)/(J322+[4]Constants!$B$23)))-0.8*(H322-J322))/[4]Constants!$B$25))</f>
        <v>6.9722897404709814</v>
      </c>
      <c r="H322" s="349">
        <v>9.1</v>
      </c>
      <c r="I322" s="348">
        <v>9.1999999999999993</v>
      </c>
      <c r="J322" s="348">
        <v>8.1</v>
      </c>
      <c r="K322" s="348">
        <v>11.2</v>
      </c>
      <c r="L322" s="313" t="s">
        <v>103</v>
      </c>
      <c r="M322" s="43">
        <f t="shared" ref="M322:M343" si="12">AVERAGE(K322,N322)</f>
        <v>9.25</v>
      </c>
      <c r="N322" s="348">
        <v>7.3</v>
      </c>
      <c r="O322" s="309">
        <v>2.8</v>
      </c>
      <c r="P322" s="309">
        <v>4</v>
      </c>
      <c r="Q322" s="313" t="s">
        <v>103</v>
      </c>
      <c r="R322" s="348">
        <v>9</v>
      </c>
      <c r="S322" s="348">
        <v>11.2</v>
      </c>
      <c r="T322" s="348">
        <v>0</v>
      </c>
      <c r="U322" s="350">
        <v>1</v>
      </c>
      <c r="V322" s="351"/>
      <c r="W322" s="348">
        <v>5</v>
      </c>
      <c r="X322" s="350">
        <v>8</v>
      </c>
      <c r="Y322" s="350">
        <v>1</v>
      </c>
      <c r="Z322" s="352" t="s">
        <v>82</v>
      </c>
      <c r="AA322" s="353">
        <v>14</v>
      </c>
      <c r="AB322" s="322">
        <f>AA322-(AA322*[4]Constants!$B$30)</f>
        <v>9.8000000000000007</v>
      </c>
    </row>
    <row r="323" spans="1:28" ht="14.5">
      <c r="A323" s="394">
        <f t="shared" si="11"/>
        <v>45246</v>
      </c>
      <c r="B323" s="349">
        <v>73.3</v>
      </c>
      <c r="C323" s="332">
        <v>29.72</v>
      </c>
      <c r="D323" s="308">
        <f>C323*[4]Constants!$B$19</f>
        <v>1006.4380799999999</v>
      </c>
      <c r="E323" s="308" t="s">
        <v>103</v>
      </c>
      <c r="F323" s="310">
        <f>100*((([4]Constants!$B$25*EXP(([4]Constants!$B$24*J323)/(J323+[4]Constants!$B$23)))-0.8*(H323-J323))/([4]Constants!$B$25*EXP(([4]Constants!$B$24*H323)/(H323+[4]Constants!$B$23))))</f>
        <v>92.153279677227374</v>
      </c>
      <c r="G323" s="311">
        <f>([4]Constants!$B$23*LN((([4]Constants!$B$25*EXP(([4]Constants!$B$24*J323)/(J323+[4]Constants!$B$23)))-0.8*(H323-J323))/[4]Constants!$B$25))/([4]Constants!$B$24-LN((([4]Constants!$B$25*EXP(([4]Constants!$B$24*J323)/(J323+[4]Constants!$B$23)))-0.8*(H323-J323))/[4]Constants!$B$25))</f>
        <v>4.328003925570278</v>
      </c>
      <c r="H323" s="349">
        <v>5.5</v>
      </c>
      <c r="I323" s="314">
        <v>5.6</v>
      </c>
      <c r="J323" s="314">
        <v>5</v>
      </c>
      <c r="K323" s="348">
        <v>7.7</v>
      </c>
      <c r="L323" s="313" t="s">
        <v>103</v>
      </c>
      <c r="M323" s="43">
        <f t="shared" si="12"/>
        <v>6.0500000000000007</v>
      </c>
      <c r="N323" s="314">
        <v>4.4000000000000004</v>
      </c>
      <c r="O323" s="314">
        <v>1.6</v>
      </c>
      <c r="P323" s="314">
        <v>2.6</v>
      </c>
      <c r="Q323" s="313" t="s">
        <v>103</v>
      </c>
      <c r="R323" s="314">
        <v>8.3000000000000007</v>
      </c>
      <c r="S323" s="314">
        <v>11</v>
      </c>
      <c r="T323" s="348">
        <v>0.4</v>
      </c>
      <c r="U323" s="339">
        <v>1</v>
      </c>
      <c r="V323" s="319"/>
      <c r="W323" s="348">
        <v>0</v>
      </c>
      <c r="X323" s="339">
        <v>8</v>
      </c>
      <c r="Y323" s="339">
        <v>8</v>
      </c>
      <c r="Z323" s="335" t="s">
        <v>82</v>
      </c>
      <c r="AA323" s="314">
        <v>6</v>
      </c>
      <c r="AB323" s="322">
        <f>AA323-(AA323*[4]Constants!$B$30)</f>
        <v>4.2</v>
      </c>
    </row>
    <row r="324" spans="1:28" ht="14.5">
      <c r="A324" s="394">
        <f t="shared" si="11"/>
        <v>45247</v>
      </c>
      <c r="B324" s="349">
        <v>73.400000000000006</v>
      </c>
      <c r="C324" s="354">
        <v>29.974</v>
      </c>
      <c r="D324" s="308">
        <f>C324*[4]Constants!$B$19</f>
        <v>1015.0395359999999</v>
      </c>
      <c r="E324" s="309" t="s">
        <v>103</v>
      </c>
      <c r="F324" s="310">
        <f>100*((([4]Constants!$B$25*EXP(([4]Constants!$B$24*J324)/(J324+[4]Constants!$B$23)))-0.8*(H324-J324))/([4]Constants!$B$25*EXP(([4]Constants!$B$24*H324)/(H324+[4]Constants!$B$23))))</f>
        <v>96.794324607461022</v>
      </c>
      <c r="G324" s="311">
        <f>([4]Constants!$B$23*LN((([4]Constants!$B$25*EXP(([4]Constants!$B$24*J324)/(J324+[4]Constants!$B$23)))-0.8*(H324-J324))/[4]Constants!$B$25))/([4]Constants!$B$24-LN((([4]Constants!$B$25*EXP(([4]Constants!$B$24*J324)/(J324+[4]Constants!$B$23)))-0.8*(H324-J324))/[4]Constants!$B$25))</f>
        <v>4.6328833815103057</v>
      </c>
      <c r="H324" s="349">
        <v>5.0999999999999996</v>
      </c>
      <c r="I324" s="348">
        <v>5.3</v>
      </c>
      <c r="J324" s="353">
        <v>4.9000000000000004</v>
      </c>
      <c r="K324" s="314">
        <v>12.7</v>
      </c>
      <c r="L324" s="313" t="s">
        <v>103</v>
      </c>
      <c r="M324" s="43">
        <f t="shared" si="12"/>
        <v>8.2999999999999989</v>
      </c>
      <c r="N324" s="349">
        <v>3.9</v>
      </c>
      <c r="O324" s="348">
        <v>-0.9</v>
      </c>
      <c r="P324" s="348">
        <v>2.2000000000000002</v>
      </c>
      <c r="Q324" s="313" t="s">
        <v>103</v>
      </c>
      <c r="R324" s="348">
        <v>8.1999999999999993</v>
      </c>
      <c r="S324" s="353">
        <v>11</v>
      </c>
      <c r="T324" s="314">
        <v>8.6</v>
      </c>
      <c r="U324" s="355">
        <v>1</v>
      </c>
      <c r="V324" s="319"/>
      <c r="W324" s="314">
        <v>3.8</v>
      </c>
      <c r="X324" s="356">
        <v>8</v>
      </c>
      <c r="Y324" s="350">
        <v>1</v>
      </c>
      <c r="Z324" s="352" t="s">
        <v>82</v>
      </c>
      <c r="AA324" s="353">
        <v>8</v>
      </c>
      <c r="AB324" s="322">
        <f>AA324-(AA324*[4]Constants!$B$30)</f>
        <v>5.6</v>
      </c>
    </row>
    <row r="325" spans="1:28" ht="14.5">
      <c r="A325" s="394">
        <f t="shared" si="11"/>
        <v>45248</v>
      </c>
      <c r="B325" s="338">
        <v>73.099999999999994</v>
      </c>
      <c r="C325" s="332">
        <v>29.65</v>
      </c>
      <c r="D325" s="308">
        <f>C325*[4]Constants!$B$19</f>
        <v>1004.0675999999999</v>
      </c>
      <c r="E325" s="308" t="s">
        <v>103</v>
      </c>
      <c r="F325" s="310">
        <f>100*((([4]Constants!$B$25*EXP(([4]Constants!$B$24*J325)/(J325+[4]Constants!$B$23)))-0.8*(H325-J325))/([4]Constants!$B$25*EXP(([4]Constants!$B$24*H325)/(H325+[4]Constants!$B$23))))</f>
        <v>97.614397405468836</v>
      </c>
      <c r="G325" s="311">
        <f>([4]Constants!$B$23*LN((([4]Constants!$B$25*EXP(([4]Constants!$B$24*J325)/(J325+[4]Constants!$B$23)))-0.8*(H325-J325))/[4]Constants!$B$25))/([4]Constants!$B$24-LN((([4]Constants!$B$25*EXP(([4]Constants!$B$24*J325)/(J325+[4]Constants!$B$23)))-0.8*(H325-J325))/[4]Constants!$B$25))</f>
        <v>12.431898049446538</v>
      </c>
      <c r="H325" s="349">
        <v>12.8</v>
      </c>
      <c r="I325" s="348">
        <v>12.7</v>
      </c>
      <c r="J325" s="348">
        <v>12.6</v>
      </c>
      <c r="K325" s="308">
        <v>14.6</v>
      </c>
      <c r="L325" s="313" t="s">
        <v>103</v>
      </c>
      <c r="M325" s="43">
        <f t="shared" si="12"/>
        <v>9.9</v>
      </c>
      <c r="N325" s="348">
        <v>5.2</v>
      </c>
      <c r="O325" s="348">
        <v>3.4</v>
      </c>
      <c r="P325" s="348">
        <v>3.4</v>
      </c>
      <c r="Q325" s="313" t="s">
        <v>103</v>
      </c>
      <c r="R325" s="348">
        <v>8.1999999999999993</v>
      </c>
      <c r="S325" s="353">
        <v>10.8</v>
      </c>
      <c r="T325" s="358">
        <v>0.8</v>
      </c>
      <c r="U325" s="372">
        <v>1</v>
      </c>
      <c r="V325" s="357"/>
      <c r="W325" s="314">
        <v>0.7</v>
      </c>
      <c r="X325" s="350">
        <v>5</v>
      </c>
      <c r="Y325" s="350">
        <v>8</v>
      </c>
      <c r="Z325" s="352" t="s">
        <v>88</v>
      </c>
      <c r="AA325" s="348">
        <v>12</v>
      </c>
      <c r="AB325" s="322">
        <f>AA325-(AA325*[4]Constants!$B$30)</f>
        <v>8.4</v>
      </c>
    </row>
    <row r="326" spans="1:28" ht="14.5">
      <c r="A326" s="394">
        <f t="shared" ref="A326:A368" si="13">A325+1</f>
        <v>45249</v>
      </c>
      <c r="B326" s="349">
        <v>73.599999999999994</v>
      </c>
      <c r="C326" s="354">
        <v>29.53</v>
      </c>
      <c r="D326" s="308">
        <f>C326*[4]Constants!$B$19</f>
        <v>1000.00392</v>
      </c>
      <c r="E326" s="309" t="s">
        <v>103</v>
      </c>
      <c r="F326" s="310">
        <f>100*((([4]Constants!$B$25*EXP(([4]Constants!$B$24*J326)/(J326+[4]Constants!$B$23)))-0.8*(H326-J326))/([4]Constants!$B$25*EXP(([4]Constants!$B$24*H326)/(H326+[4]Constants!$B$23))))</f>
        <v>82.78483391720458</v>
      </c>
      <c r="G326" s="311">
        <f>([4]Constants!$B$23*LN((([4]Constants!$B$25*EXP(([4]Constants!$B$24*J326)/(J326+[4]Constants!$B$23)))-0.8*(H326-J326))/[4]Constants!$B$25))/([4]Constants!$B$24-LN((([4]Constants!$B$25*EXP(([4]Constants!$B$24*J326)/(J326+[4]Constants!$B$23)))-0.8*(H326-J326))/[4]Constants!$B$25))</f>
        <v>8.5786271609799201</v>
      </c>
      <c r="H326" s="338">
        <v>11.4</v>
      </c>
      <c r="I326" s="314">
        <v>11.4</v>
      </c>
      <c r="J326" s="314">
        <v>10</v>
      </c>
      <c r="K326" s="308">
        <v>12.7</v>
      </c>
      <c r="L326" s="313" t="s">
        <v>103</v>
      </c>
      <c r="M326" s="43">
        <f t="shared" si="12"/>
        <v>11.55</v>
      </c>
      <c r="N326" s="314">
        <v>10.4</v>
      </c>
      <c r="O326" s="314">
        <v>7.3</v>
      </c>
      <c r="P326" s="314">
        <v>8</v>
      </c>
      <c r="Q326" s="313" t="s">
        <v>103</v>
      </c>
      <c r="R326" s="314">
        <v>9.5</v>
      </c>
      <c r="S326" s="314">
        <v>10.8</v>
      </c>
      <c r="T326" s="358">
        <v>0.8</v>
      </c>
      <c r="U326" s="339">
        <v>1</v>
      </c>
      <c r="V326" s="319"/>
      <c r="W326" s="314">
        <v>0.1</v>
      </c>
      <c r="X326" s="339">
        <v>7</v>
      </c>
      <c r="Y326" s="339">
        <v>6</v>
      </c>
      <c r="Z326" s="335" t="s">
        <v>87</v>
      </c>
      <c r="AA326" s="314">
        <v>20</v>
      </c>
      <c r="AB326" s="322">
        <f>AA326-(AA326*[4]Constants!$B$30)</f>
        <v>14</v>
      </c>
    </row>
    <row r="327" spans="1:28" ht="14.5">
      <c r="A327" s="394">
        <f t="shared" si="13"/>
        <v>45250</v>
      </c>
      <c r="B327" s="392">
        <v>73.8</v>
      </c>
      <c r="C327" s="359">
        <v>29.61</v>
      </c>
      <c r="D327" s="308">
        <f>C327*[4]Constants!$B$19</f>
        <v>1002.7130399999999</v>
      </c>
      <c r="E327" s="308" t="s">
        <v>103</v>
      </c>
      <c r="F327" s="310">
        <f>100*((([4]Constants!$B$25*EXP(([4]Constants!$B$24*J327)/(J327+[4]Constants!$B$23)))-0.8*(H327-J327))/([4]Constants!$B$25*EXP(([4]Constants!$B$24*H327)/(H327+[4]Constants!$B$23))))</f>
        <v>91.77598560501302</v>
      </c>
      <c r="G327" s="311">
        <f>([4]Constants!$B$23*LN((([4]Constants!$B$25*EXP(([4]Constants!$B$24*J327)/(J327+[4]Constants!$B$23)))-0.8*(H327-J327))/[4]Constants!$B$25))/([4]Constants!$B$24-LN((([4]Constants!$B$25*EXP(([4]Constants!$B$24*J327)/(J327+[4]Constants!$B$23)))-0.8*(H327-J327))/[4]Constants!$B$25))</f>
        <v>7.5367042717881354</v>
      </c>
      <c r="H327" s="333">
        <v>8.8000000000000007</v>
      </c>
      <c r="I327" s="334">
        <v>8.9</v>
      </c>
      <c r="J327" s="334">
        <v>8.1999999999999993</v>
      </c>
      <c r="K327" s="314">
        <v>12.2</v>
      </c>
      <c r="L327" s="313" t="s">
        <v>103</v>
      </c>
      <c r="M327" s="43">
        <f t="shared" si="12"/>
        <v>9.6499999999999986</v>
      </c>
      <c r="N327" s="334">
        <v>7.1</v>
      </c>
      <c r="O327" s="334">
        <v>4.8</v>
      </c>
      <c r="P327" s="308">
        <v>6.1</v>
      </c>
      <c r="Q327" s="313" t="s">
        <v>103</v>
      </c>
      <c r="R327" s="334">
        <v>9.4</v>
      </c>
      <c r="S327" s="308">
        <v>10.7</v>
      </c>
      <c r="T327" s="314" t="s">
        <v>93</v>
      </c>
      <c r="U327" s="342">
        <v>1</v>
      </c>
      <c r="V327" s="344"/>
      <c r="W327" s="314">
        <v>3</v>
      </c>
      <c r="X327" s="334">
        <v>8</v>
      </c>
      <c r="Y327" s="334">
        <v>6</v>
      </c>
      <c r="Z327" s="360" t="s">
        <v>82</v>
      </c>
      <c r="AA327" s="308">
        <v>2</v>
      </c>
      <c r="AB327" s="322">
        <f>AA327-(AA327*[4]Constants!$B$30)</f>
        <v>1.4</v>
      </c>
    </row>
    <row r="328" spans="1:28" ht="14.5">
      <c r="A328" s="394">
        <f t="shared" si="13"/>
        <v>45251</v>
      </c>
      <c r="B328" s="362">
        <v>73</v>
      </c>
      <c r="C328" s="361">
        <v>30.074000000000002</v>
      </c>
      <c r="D328" s="308">
        <f>C328*[4]Constants!$B$19</f>
        <v>1018.425936</v>
      </c>
      <c r="E328" s="309" t="s">
        <v>103</v>
      </c>
      <c r="F328" s="310">
        <f>100*((([4]Constants!$B$25*EXP(([4]Constants!$B$24*J328)/(J328+[4]Constants!$B$23)))-0.8*(H328-J328))/([4]Constants!$B$25*EXP(([4]Constants!$B$24*H328)/(H328+[4]Constants!$B$23))))</f>
        <v>87.717046144980301</v>
      </c>
      <c r="G328" s="311">
        <f>([4]Constants!$B$23*LN((([4]Constants!$B$25*EXP(([4]Constants!$B$24*J328)/(J328+[4]Constants!$B$23)))-0.8*(H328-J328))/[4]Constants!$B$25))/([4]Constants!$B$24-LN((([4]Constants!$B$25*EXP(([4]Constants!$B$24*J328)/(J328+[4]Constants!$B$23)))-0.8*(H328-J328))/[4]Constants!$B$25))</f>
        <v>6.8759145510668409</v>
      </c>
      <c r="H328" s="362">
        <v>8.8000000000000007</v>
      </c>
      <c r="I328" s="315">
        <v>8.8000000000000007</v>
      </c>
      <c r="J328" s="315">
        <v>7.9</v>
      </c>
      <c r="K328" s="314">
        <v>10.199999999999999</v>
      </c>
      <c r="L328" s="313" t="s">
        <v>103</v>
      </c>
      <c r="M328" s="43">
        <f t="shared" si="12"/>
        <v>9.3999999999999986</v>
      </c>
      <c r="N328" s="315">
        <v>8.6</v>
      </c>
      <c r="O328" s="315">
        <v>6.6</v>
      </c>
      <c r="P328" s="315">
        <v>7.1</v>
      </c>
      <c r="Q328" s="313" t="s">
        <v>103</v>
      </c>
      <c r="R328" s="315">
        <v>9.6</v>
      </c>
      <c r="S328" s="315">
        <v>10.8</v>
      </c>
      <c r="T328" s="315">
        <v>0</v>
      </c>
      <c r="U328" s="363">
        <v>1</v>
      </c>
      <c r="V328" s="364"/>
      <c r="W328" s="365">
        <v>0</v>
      </c>
      <c r="X328" s="366">
        <v>8</v>
      </c>
      <c r="Y328" s="366">
        <v>8</v>
      </c>
      <c r="Z328" s="367" t="s">
        <v>82</v>
      </c>
      <c r="AA328" s="368">
        <v>10</v>
      </c>
      <c r="AB328" s="322">
        <f>AA328-(AA328*[4]Constants!$B$30)</f>
        <v>7</v>
      </c>
    </row>
    <row r="329" spans="1:28" ht="14.5">
      <c r="A329" s="394">
        <f t="shared" si="13"/>
        <v>45252</v>
      </c>
      <c r="B329" s="338">
        <v>72.900000000000006</v>
      </c>
      <c r="C329" s="332">
        <v>30.303999999999998</v>
      </c>
      <c r="D329" s="308">
        <f>C329*[4]Constants!$B$19</f>
        <v>1026.2146559999999</v>
      </c>
      <c r="E329" s="308" t="s">
        <v>103</v>
      </c>
      <c r="F329" s="310">
        <f>100*((([4]Constants!$B$25*EXP(([4]Constants!$B$24*J329)/(J329+[4]Constants!$B$23)))-0.8*(H329-J329))/([4]Constants!$B$25*EXP(([4]Constants!$B$24*H329)/(H329+[4]Constants!$B$23))))</f>
        <v>88.206741389055807</v>
      </c>
      <c r="G329" s="311">
        <f>([4]Constants!$B$23*LN((([4]Constants!$B$25*EXP(([4]Constants!$B$24*J329)/(J329+[4]Constants!$B$23)))-0.8*(H329-J329))/[4]Constants!$B$25))/([4]Constants!$B$24-LN((([4]Constants!$B$25*EXP(([4]Constants!$B$24*J329)/(J329+[4]Constants!$B$23)))-0.8*(H329-J329))/[4]Constants!$B$25))</f>
        <v>5.0846053169177639</v>
      </c>
      <c r="H329" s="338">
        <v>6.9</v>
      </c>
      <c r="I329" s="314">
        <v>7</v>
      </c>
      <c r="J329" s="314">
        <v>6.1</v>
      </c>
      <c r="K329" s="369">
        <v>11.5</v>
      </c>
      <c r="L329" s="313" t="s">
        <v>103</v>
      </c>
      <c r="M329" s="43">
        <f t="shared" si="12"/>
        <v>8.15</v>
      </c>
      <c r="N329" s="314">
        <v>4.8</v>
      </c>
      <c r="O329" s="314">
        <v>1.9</v>
      </c>
      <c r="P329" s="314">
        <v>3.9</v>
      </c>
      <c r="Q329" s="313" t="s">
        <v>103</v>
      </c>
      <c r="R329" s="314">
        <v>9.3000000000000007</v>
      </c>
      <c r="S329" s="314">
        <v>10.8</v>
      </c>
      <c r="T329" s="314" t="s">
        <v>93</v>
      </c>
      <c r="U329" s="342">
        <v>1</v>
      </c>
      <c r="V329" s="339"/>
      <c r="W329" s="308">
        <v>0</v>
      </c>
      <c r="X329" s="342">
        <v>8</v>
      </c>
      <c r="Y329" s="342">
        <v>8</v>
      </c>
      <c r="Z329" s="335" t="s">
        <v>82</v>
      </c>
      <c r="AA329" s="336">
        <v>7</v>
      </c>
      <c r="AB329" s="322">
        <f>AA329-(AA329*[4]Constants!$B$30)</f>
        <v>4.9000000000000004</v>
      </c>
    </row>
    <row r="330" spans="1:28" ht="14.5">
      <c r="A330" s="394">
        <f t="shared" si="13"/>
        <v>45253</v>
      </c>
      <c r="B330" s="338">
        <v>73.8</v>
      </c>
      <c r="C330" s="332">
        <v>30.204000000000001</v>
      </c>
      <c r="D330" s="308">
        <f>C330*[4]Constants!$B$19</f>
        <v>1022.8282559999999</v>
      </c>
      <c r="E330" s="309" t="s">
        <v>103</v>
      </c>
      <c r="F330" s="310">
        <f>100*((([4]Constants!$B$25*EXP(([4]Constants!$B$24*J330)/(J330+[4]Constants!$B$23)))-0.8*(H330-J330))/([4]Constants!$B$25*EXP(([4]Constants!$B$24*H330)/(H330+[4]Constants!$B$23))))</f>
        <v>88.264690578287031</v>
      </c>
      <c r="G330" s="311">
        <f>([4]Constants!$B$23*LN((([4]Constants!$B$25*EXP(([4]Constants!$B$24*J330)/(J330+[4]Constants!$B$23)))-0.8*(H330-J330))/[4]Constants!$B$25))/([4]Constants!$B$24-LN((([4]Constants!$B$25*EXP(([4]Constants!$B$24*J330)/(J330+[4]Constants!$B$23)))-0.8*(H330-J330))/[4]Constants!$B$25))</f>
        <v>8.1492100832933634</v>
      </c>
      <c r="H330" s="338">
        <v>10</v>
      </c>
      <c r="I330" s="314">
        <v>10</v>
      </c>
      <c r="J330" s="314">
        <v>9.1</v>
      </c>
      <c r="K330" s="314">
        <v>13.4</v>
      </c>
      <c r="L330" s="313" t="s">
        <v>103</v>
      </c>
      <c r="M330" s="43">
        <f t="shared" si="12"/>
        <v>10.199999999999999</v>
      </c>
      <c r="N330" s="314">
        <v>7</v>
      </c>
      <c r="O330" s="314">
        <v>3.2</v>
      </c>
      <c r="P330" s="314" t="s">
        <v>103</v>
      </c>
      <c r="Q330" s="313" t="s">
        <v>103</v>
      </c>
      <c r="R330" s="314">
        <v>9.1999999999999993</v>
      </c>
      <c r="S330" s="314">
        <v>10.8</v>
      </c>
      <c r="T330" s="308" t="s">
        <v>93</v>
      </c>
      <c r="U330" s="342">
        <v>1</v>
      </c>
      <c r="V330" s="339"/>
      <c r="W330" s="314">
        <v>4.2</v>
      </c>
      <c r="X330" s="339">
        <v>8</v>
      </c>
      <c r="Y330" s="339">
        <v>8</v>
      </c>
      <c r="Z330" s="335" t="s">
        <v>82</v>
      </c>
      <c r="AA330" s="336">
        <v>8</v>
      </c>
      <c r="AB330" s="322">
        <f>AA330-(AA330*[4]Constants!$B$30)</f>
        <v>5.6</v>
      </c>
    </row>
    <row r="331" spans="1:28" ht="14.5">
      <c r="A331" s="394">
        <f t="shared" si="13"/>
        <v>45254</v>
      </c>
      <c r="B331" s="338">
        <v>74.8</v>
      </c>
      <c r="C331" s="332">
        <v>29.98</v>
      </c>
      <c r="D331" s="308">
        <f>C331*[4]Constants!$B$19</f>
        <v>1015.24272</v>
      </c>
      <c r="E331" s="308" t="s">
        <v>103</v>
      </c>
      <c r="F331" s="310">
        <f>100*((([4]Constants!$B$25*EXP(([4]Constants!$B$24*J331)/(J331+[4]Constants!$B$23)))-0.8*(H331-J331))/([4]Constants!$B$25*EXP(([4]Constants!$B$24*H331)/(H331+[4]Constants!$B$23))))</f>
        <v>84.613944067473184</v>
      </c>
      <c r="G331" s="311">
        <f>([4]Constants!$B$23*LN((([4]Constants!$B$25*EXP(([4]Constants!$B$24*J331)/(J331+[4]Constants!$B$23)))-0.8*(H331-J331))/[4]Constants!$B$25))/([4]Constants!$B$24-LN((([4]Constants!$B$25*EXP(([4]Constants!$B$24*J331)/(J331+[4]Constants!$B$23)))-0.8*(H331-J331))/[4]Constants!$B$25))</f>
        <v>5.6657519749836789</v>
      </c>
      <c r="H331" s="338">
        <v>8.1</v>
      </c>
      <c r="I331" s="314">
        <v>8.1</v>
      </c>
      <c r="J331" s="314">
        <v>7</v>
      </c>
      <c r="K331" s="314">
        <v>8.9</v>
      </c>
      <c r="L331" s="313" t="s">
        <v>103</v>
      </c>
      <c r="M331" s="43">
        <f t="shared" si="12"/>
        <v>8.1999999999999993</v>
      </c>
      <c r="N331" s="314">
        <v>7.5</v>
      </c>
      <c r="O331" s="314">
        <v>3</v>
      </c>
      <c r="P331" s="314">
        <v>6.8</v>
      </c>
      <c r="Q331" s="313" t="s">
        <v>103</v>
      </c>
      <c r="R331" s="314">
        <v>9.5</v>
      </c>
      <c r="S331" s="314">
        <v>10.8</v>
      </c>
      <c r="T331" s="308" t="s">
        <v>93</v>
      </c>
      <c r="U331" s="342">
        <v>1</v>
      </c>
      <c r="V331" s="339"/>
      <c r="W331" s="314">
        <v>4.9000000000000004</v>
      </c>
      <c r="X331" s="339">
        <v>7</v>
      </c>
      <c r="Y331" s="339">
        <v>7</v>
      </c>
      <c r="Z331" s="335" t="s">
        <v>89</v>
      </c>
      <c r="AA331" s="336">
        <v>11</v>
      </c>
      <c r="AB331" s="322">
        <f>AA331-(AA331*[4]Constants!$B$30)</f>
        <v>7.7</v>
      </c>
    </row>
    <row r="332" spans="1:28" ht="14.5">
      <c r="A332" s="394">
        <f t="shared" si="13"/>
        <v>45255</v>
      </c>
      <c r="B332" s="338">
        <v>72</v>
      </c>
      <c r="C332" s="332">
        <v>30</v>
      </c>
      <c r="D332" s="308">
        <f>C332*[4]Constants!$B$19</f>
        <v>1015.92</v>
      </c>
      <c r="E332" s="309" t="s">
        <v>103</v>
      </c>
      <c r="F332" s="310">
        <f>100*((([4]Constants!$B$25*EXP(([4]Constants!$B$24*J332)/(J332+[4]Constants!$B$23)))-0.8*(H332-J332))/([4]Constants!$B$25*EXP(([4]Constants!$B$24*H332)/(H332+[4]Constants!$B$23))))</f>
        <v>87.875722410088315</v>
      </c>
      <c r="G332" s="311">
        <f>([4]Constants!$B$23*LN((([4]Constants!$B$25*EXP(([4]Constants!$B$24*J332)/(J332+[4]Constants!$B$23)))-0.8*(H332-J332))/[4]Constants!$B$25))/([4]Constants!$B$24-LN((([4]Constants!$B$25*EXP(([4]Constants!$B$24*J332)/(J332+[4]Constants!$B$23)))-0.8*(H332-J332))/[4]Constants!$B$25))</f>
        <v>-1.7681394856307755</v>
      </c>
      <c r="H332" s="338">
        <v>0</v>
      </c>
      <c r="I332" s="314">
        <v>0.1</v>
      </c>
      <c r="J332" s="314">
        <v>-0.6</v>
      </c>
      <c r="K332" s="314">
        <v>6.4</v>
      </c>
      <c r="L332" s="313" t="s">
        <v>103</v>
      </c>
      <c r="M332" s="43">
        <f t="shared" si="12"/>
        <v>2.2000000000000002</v>
      </c>
      <c r="N332" s="314">
        <v>-2</v>
      </c>
      <c r="O332" s="314">
        <v>-6.1</v>
      </c>
      <c r="P332" s="314">
        <v>-4</v>
      </c>
      <c r="Q332" s="313" t="s">
        <v>103</v>
      </c>
      <c r="R332" s="314">
        <v>8.1</v>
      </c>
      <c r="S332" s="314">
        <v>10.9</v>
      </c>
      <c r="T332" s="314" t="s">
        <v>93</v>
      </c>
      <c r="U332" s="342">
        <v>1</v>
      </c>
      <c r="V332" s="339"/>
      <c r="W332" s="308">
        <v>6.55</v>
      </c>
      <c r="X332" s="339">
        <v>8</v>
      </c>
      <c r="Y332" s="339">
        <v>0</v>
      </c>
      <c r="Z332" s="335" t="s">
        <v>82</v>
      </c>
      <c r="AA332" s="336">
        <v>2</v>
      </c>
      <c r="AB332" s="322">
        <f>AA332-(AA332*[4]Constants!$B$30)</f>
        <v>1.4</v>
      </c>
    </row>
    <row r="333" spans="1:28" ht="14.5">
      <c r="A333" s="394">
        <f t="shared" si="13"/>
        <v>45256</v>
      </c>
      <c r="B333" s="338">
        <v>71.5</v>
      </c>
      <c r="C333" s="332">
        <v>29.904</v>
      </c>
      <c r="D333" s="308">
        <f>C333*[4]Constants!$B$19</f>
        <v>1012.669056</v>
      </c>
      <c r="E333" s="308" t="s">
        <v>103</v>
      </c>
      <c r="F333" s="310">
        <f>100*((([4]Constants!$B$25*EXP(([4]Constants!$B$24*J333)/(J333+[4]Constants!$B$23)))-0.8*(H333-J333))/([4]Constants!$B$25*EXP(([4]Constants!$B$24*H333)/(H333+[4]Constants!$B$23))))</f>
        <v>85.569042642340506</v>
      </c>
      <c r="G333" s="311">
        <f>([4]Constants!$B$23*LN((([4]Constants!$B$25*EXP(([4]Constants!$B$24*J333)/(J333+[4]Constants!$B$23)))-0.8*(H333-J333))/[4]Constants!$B$25))/([4]Constants!$B$24-LN((([4]Constants!$B$25*EXP(([4]Constants!$B$24*J333)/(J333+[4]Constants!$B$23)))-0.8*(H333-J333))/[4]Constants!$B$25))</f>
        <v>0.13091710185953026</v>
      </c>
      <c r="H333" s="338">
        <v>2.2999999999999998</v>
      </c>
      <c r="I333" s="314">
        <v>2.2999999999999998</v>
      </c>
      <c r="J333" s="314">
        <v>1.5</v>
      </c>
      <c r="K333" s="314">
        <v>9.6</v>
      </c>
      <c r="L333" s="313" t="s">
        <v>103</v>
      </c>
      <c r="M333" s="43">
        <f t="shared" si="12"/>
        <v>3.8499999999999996</v>
      </c>
      <c r="N333" s="314">
        <v>-1.9</v>
      </c>
      <c r="O333" s="314">
        <v>-3.7</v>
      </c>
      <c r="P333" s="314">
        <v>-1.9</v>
      </c>
      <c r="Q333" s="313" t="s">
        <v>103</v>
      </c>
      <c r="R333" s="314">
        <v>7.4</v>
      </c>
      <c r="S333" s="314">
        <v>10.7</v>
      </c>
      <c r="T333" s="314">
        <v>3.4</v>
      </c>
      <c r="U333" s="342">
        <v>1</v>
      </c>
      <c r="V333" s="339"/>
      <c r="W333" s="308">
        <v>0</v>
      </c>
      <c r="X333" s="339">
        <v>8</v>
      </c>
      <c r="Y333" s="339">
        <v>8</v>
      </c>
      <c r="Z333" s="335" t="s">
        <v>82</v>
      </c>
      <c r="AA333" s="336">
        <v>0</v>
      </c>
      <c r="AB333" s="322">
        <f>AA333-(AA333*[4]Constants!$B$30)</f>
        <v>0</v>
      </c>
    </row>
    <row r="334" spans="1:28" ht="14.5">
      <c r="A334" s="394">
        <f t="shared" si="13"/>
        <v>45257</v>
      </c>
      <c r="B334" s="338">
        <v>72.400000000000006</v>
      </c>
      <c r="C334" s="332">
        <v>29.364000000000001</v>
      </c>
      <c r="D334" s="308">
        <f>C334*[4]Constants!$B$19</f>
        <v>994.38249599999995</v>
      </c>
      <c r="E334" s="309" t="s">
        <v>103</v>
      </c>
      <c r="F334" s="310">
        <f>100*((([4]Constants!$B$25*EXP(([4]Constants!$B$24*J334)/(J334+[4]Constants!$B$23)))-0.8*(H334-J334))/([4]Constants!$B$25*EXP(([4]Constants!$B$24*H334)/(H334+[4]Constants!$B$23))))</f>
        <v>95.705377172341827</v>
      </c>
      <c r="G334" s="311">
        <f>([4]Constants!$B$23*LN((([4]Constants!$B$25*EXP(([4]Constants!$B$24*J334)/(J334+[4]Constants!$B$23)))-0.8*(H334-J334))/[4]Constants!$B$25))/([4]Constants!$B$24-LN((([4]Constants!$B$25*EXP(([4]Constants!$B$24*J334)/(J334+[4]Constants!$B$23)))-0.8*(H334-J334))/[4]Constants!$B$25))</f>
        <v>7.1573722903653776</v>
      </c>
      <c r="H334" s="338">
        <v>7.8</v>
      </c>
      <c r="I334" s="314">
        <v>8</v>
      </c>
      <c r="J334" s="314">
        <v>7.5</v>
      </c>
      <c r="K334" s="314">
        <v>9.1</v>
      </c>
      <c r="L334" s="313" t="s">
        <v>103</v>
      </c>
      <c r="M334" s="43">
        <f t="shared" si="12"/>
        <v>5.65</v>
      </c>
      <c r="N334" s="314">
        <v>2.2000000000000002</v>
      </c>
      <c r="O334" s="314">
        <v>2.8</v>
      </c>
      <c r="P334" s="314">
        <v>2.6</v>
      </c>
      <c r="Q334" s="313" t="s">
        <v>103</v>
      </c>
      <c r="R334" s="314">
        <v>7</v>
      </c>
      <c r="S334" s="314">
        <v>10.3</v>
      </c>
      <c r="T334" s="314">
        <v>1.5</v>
      </c>
      <c r="U334" s="342">
        <v>1</v>
      </c>
      <c r="V334" s="339"/>
      <c r="W334" s="308">
        <v>0</v>
      </c>
      <c r="X334" s="339">
        <v>8</v>
      </c>
      <c r="Y334" s="339">
        <v>7</v>
      </c>
      <c r="Z334" s="335" t="s">
        <v>82</v>
      </c>
      <c r="AA334" s="336">
        <v>8</v>
      </c>
      <c r="AB334" s="322">
        <f>AA334-(AA334*[4]Constants!$B$30)</f>
        <v>5.6</v>
      </c>
    </row>
    <row r="335" spans="1:28" ht="14.5">
      <c r="A335" s="394">
        <f t="shared" si="13"/>
        <v>45258</v>
      </c>
      <c r="B335" s="338">
        <v>71.599999999999994</v>
      </c>
      <c r="C335" s="332">
        <v>29.69</v>
      </c>
      <c r="D335" s="308">
        <f>C335*[4]Constants!$B$19</f>
        <v>1005.42216</v>
      </c>
      <c r="E335" s="308" t="s">
        <v>103</v>
      </c>
      <c r="F335" s="310">
        <f>100*((([4]Constants!$B$25*EXP(([4]Constants!$B$24*J335)/(J335+[4]Constants!$B$23)))-0.8*(H335-J335))/([4]Constants!$B$25*EXP(([4]Constants!$B$24*H335)/(H335+[4]Constants!$B$23))))</f>
        <v>91.276303711089611</v>
      </c>
      <c r="G335" s="311">
        <f>([4]Constants!$B$23*LN((([4]Constants!$B$25*EXP(([4]Constants!$B$24*J335)/(J335+[4]Constants!$B$23)))-0.8*(H335-J335))/[4]Constants!$B$25))/([4]Constants!$B$24-LN((([4]Constants!$B$25*EXP(([4]Constants!$B$24*J335)/(J335+[4]Constants!$B$23)))-0.8*(H335-J335))/[4]Constants!$B$25))</f>
        <v>1.8166199467508315</v>
      </c>
      <c r="H335" s="338">
        <v>3.1</v>
      </c>
      <c r="I335" s="314">
        <v>3.2</v>
      </c>
      <c r="J335" s="314">
        <v>2.6</v>
      </c>
      <c r="K335" s="314">
        <v>7.4</v>
      </c>
      <c r="L335" s="313" t="s">
        <v>103</v>
      </c>
      <c r="M335" s="43">
        <f t="shared" si="12"/>
        <v>4.9000000000000004</v>
      </c>
      <c r="N335" s="314">
        <v>2.4</v>
      </c>
      <c r="O335" s="314">
        <v>-0.2</v>
      </c>
      <c r="P335" s="314">
        <v>0.3</v>
      </c>
      <c r="Q335" s="313" t="s">
        <v>103</v>
      </c>
      <c r="R335" s="314">
        <v>7.5</v>
      </c>
      <c r="S335" s="314">
        <v>10.3</v>
      </c>
      <c r="T335" s="314">
        <v>0.2</v>
      </c>
      <c r="U335" s="342">
        <v>1</v>
      </c>
      <c r="V335" s="339"/>
      <c r="W335" s="308">
        <v>4.5</v>
      </c>
      <c r="X335" s="339">
        <v>8</v>
      </c>
      <c r="Y335" s="339">
        <v>2</v>
      </c>
      <c r="Z335" s="335" t="s">
        <v>82</v>
      </c>
      <c r="AA335" s="336">
        <v>5</v>
      </c>
      <c r="AB335" s="322">
        <f>AA335-(AA335*[4]Constants!$B$30)</f>
        <v>3.5</v>
      </c>
    </row>
    <row r="336" spans="1:28" ht="14.5">
      <c r="A336" s="394">
        <f t="shared" si="13"/>
        <v>45259</v>
      </c>
      <c r="B336" s="338">
        <v>71.8</v>
      </c>
      <c r="C336" s="332">
        <v>29.515999999999998</v>
      </c>
      <c r="D336" s="308">
        <f>C336*[4]Constants!$B$19</f>
        <v>999.52982399999985</v>
      </c>
      <c r="E336" s="309" t="s">
        <v>103</v>
      </c>
      <c r="F336" s="310">
        <f>100*((([4]Constants!$B$25*EXP(([4]Constants!$B$24*J336)/(J336+[4]Constants!$B$23)))-0.8*(H336-J336))/([4]Constants!$B$25*EXP(([4]Constants!$B$24*H336)/(H336+[4]Constants!$B$23))))</f>
        <v>96.171472696980089</v>
      </c>
      <c r="G336" s="311">
        <f>([4]Constants!$B$23*LN((([4]Constants!$B$25*EXP(([4]Constants!$B$24*J336)/(J336+[4]Constants!$B$23)))-0.8*(H336-J336))/[4]Constants!$B$25))/([4]Constants!$B$24-LN((([4]Constants!$B$25*EXP(([4]Constants!$B$24*J336)/(J336+[4]Constants!$B$23)))-0.8*(H336-J336))/[4]Constants!$B$25))</f>
        <v>0.65793628249493019</v>
      </c>
      <c r="H336" s="338">
        <v>1.2</v>
      </c>
      <c r="I336" s="314">
        <v>1.3</v>
      </c>
      <c r="J336" s="314">
        <v>1</v>
      </c>
      <c r="K336" s="314">
        <v>7.4</v>
      </c>
      <c r="L336" s="313" t="s">
        <v>103</v>
      </c>
      <c r="M336" s="43">
        <f t="shared" si="12"/>
        <v>4.1500000000000004</v>
      </c>
      <c r="N336" s="314">
        <v>0.9</v>
      </c>
      <c r="O336" s="314">
        <v>-1.6</v>
      </c>
      <c r="P336" s="314">
        <v>-0.9</v>
      </c>
      <c r="Q336" s="313" t="s">
        <v>103</v>
      </c>
      <c r="R336" s="314">
        <v>6.7</v>
      </c>
      <c r="S336" s="314">
        <v>10</v>
      </c>
      <c r="T336" s="314">
        <v>0</v>
      </c>
      <c r="U336" s="342">
        <v>1</v>
      </c>
      <c r="V336" s="339"/>
      <c r="W336" s="308">
        <v>1.5</v>
      </c>
      <c r="X336" s="339">
        <v>6</v>
      </c>
      <c r="Y336" s="339">
        <v>8</v>
      </c>
      <c r="Z336" s="335" t="s">
        <v>82</v>
      </c>
      <c r="AA336" s="336">
        <v>0</v>
      </c>
      <c r="AB336" s="322">
        <f>AA336-(AA336*[4]Constants!$B$30)</f>
        <v>0</v>
      </c>
    </row>
    <row r="337" spans="1:28" ht="14.5">
      <c r="A337" s="394">
        <f t="shared" si="13"/>
        <v>45260</v>
      </c>
      <c r="B337" s="338">
        <v>71.8</v>
      </c>
      <c r="C337" s="332">
        <v>29.417999999999999</v>
      </c>
      <c r="D337" s="308">
        <f>C337*[4]Constants!$B$19</f>
        <v>996.21115199999986</v>
      </c>
      <c r="E337" s="308" t="s">
        <v>103</v>
      </c>
      <c r="F337" s="310">
        <f>100*((([4]Constants!$B$25*EXP(([4]Constants!$B$24*J337)/(J337+[4]Constants!$B$23)))-0.8*(H337-J337))/([4]Constants!$B$25*EXP(([4]Constants!$B$24*H337)/(H337+[4]Constants!$B$23))))</f>
        <v>97.89519312787337</v>
      </c>
      <c r="G337" s="311">
        <f>([4]Constants!$B$23*LN((([4]Constants!$B$25*EXP(([4]Constants!$B$24*J337)/(J337+[4]Constants!$B$23)))-0.8*(H337-J337))/[4]Constants!$B$25))/([4]Constants!$B$24-LN((([4]Constants!$B$25*EXP(([4]Constants!$B$24*J337)/(J337+[4]Constants!$B$23)))-0.8*(H337-J337))/[4]Constants!$B$25))</f>
        <v>-0.99111474506636088</v>
      </c>
      <c r="H337" s="338">
        <v>-0.7</v>
      </c>
      <c r="I337" s="314">
        <v>-0.7</v>
      </c>
      <c r="J337" s="314">
        <v>-0.8</v>
      </c>
      <c r="K337" s="314">
        <v>4.3</v>
      </c>
      <c r="L337" s="313" t="s">
        <v>103</v>
      </c>
      <c r="M337" s="43">
        <f t="shared" si="12"/>
        <v>0.7</v>
      </c>
      <c r="N337" s="314">
        <v>-2.9</v>
      </c>
      <c r="O337" s="314">
        <v>-4.2</v>
      </c>
      <c r="P337" s="314">
        <v>-3.6</v>
      </c>
      <c r="Q337" s="313" t="s">
        <v>103</v>
      </c>
      <c r="R337" s="314">
        <v>5.8</v>
      </c>
      <c r="S337" s="314">
        <v>9.8000000000000007</v>
      </c>
      <c r="T337" s="314">
        <v>0</v>
      </c>
      <c r="U337" s="342">
        <v>1</v>
      </c>
      <c r="V337" s="339"/>
      <c r="W337" s="308">
        <v>3.8</v>
      </c>
      <c r="X337" s="339">
        <v>2</v>
      </c>
      <c r="Y337" s="339">
        <v>8</v>
      </c>
      <c r="Z337" s="335" t="s">
        <v>111</v>
      </c>
      <c r="AA337" s="336">
        <v>10</v>
      </c>
      <c r="AB337" s="322">
        <f>AA337-(AA337*[4]Constants!$B$30)</f>
        <v>7</v>
      </c>
    </row>
    <row r="338" spans="1:28" ht="14.5">
      <c r="A338" s="394">
        <f t="shared" si="13"/>
        <v>45261</v>
      </c>
      <c r="B338" s="390">
        <v>69.2</v>
      </c>
      <c r="C338" s="307">
        <v>29.558</v>
      </c>
      <c r="D338" s="308">
        <f>C338*[5]Constants!$B$19</f>
        <v>1000.9521119999999</v>
      </c>
      <c r="E338" s="309" t="s">
        <v>103</v>
      </c>
      <c r="F338" s="310">
        <f>100*((([5]Constants!$B$25*EXP(([5]Constants!$B$24*J338)/(J338+[5]Constants!$B$23)))-0.8*(H338-J338))/([5]Constants!$B$25*EXP(([5]Constants!$B$24*H338)/(H338+[5]Constants!$B$23))))</f>
        <v>100</v>
      </c>
      <c r="G338" s="311">
        <f>([5]Constants!$B$23*LN((([5]Constants!$B$25*EXP(([5]Constants!$B$24*J338)/(J338+[5]Constants!$B$23)))-0.8*(H338-J338))/[5]Constants!$B$25))/([5]Constants!$B$24-LN((([5]Constants!$B$25*EXP(([5]Constants!$B$24*J338)/(J338+[5]Constants!$B$23)))-0.8*(H338-J338))/[5]Constants!$B$25))</f>
        <v>-0.50000000000000011</v>
      </c>
      <c r="H338" s="312">
        <v>-0.5</v>
      </c>
      <c r="I338" s="313">
        <v>-0.3</v>
      </c>
      <c r="J338" s="314">
        <v>-0.5</v>
      </c>
      <c r="K338" s="313">
        <v>2.6</v>
      </c>
      <c r="L338" s="313" t="s">
        <v>103</v>
      </c>
      <c r="M338" s="43">
        <f t="shared" si="12"/>
        <v>5.0000000000000044E-2</v>
      </c>
      <c r="N338" s="313">
        <v>-2.5</v>
      </c>
      <c r="O338" s="313">
        <v>-7.3</v>
      </c>
      <c r="P338" s="313">
        <v>-4.3</v>
      </c>
      <c r="Q338" s="316" t="s">
        <v>103</v>
      </c>
      <c r="R338" s="316">
        <v>5</v>
      </c>
      <c r="S338" s="316">
        <v>9.6999999999999993</v>
      </c>
      <c r="T338" s="317">
        <v>0</v>
      </c>
      <c r="U338" s="318">
        <v>1</v>
      </c>
      <c r="V338" s="319"/>
      <c r="W338" s="316">
        <v>3.3</v>
      </c>
      <c r="X338" s="318">
        <v>6</v>
      </c>
      <c r="Y338" s="318">
        <v>8</v>
      </c>
      <c r="Z338" s="320" t="s">
        <v>89</v>
      </c>
      <c r="AA338" s="321">
        <v>6</v>
      </c>
      <c r="AB338" s="322">
        <f>AA338-(AA338*[5]Constants!$B$30)</f>
        <v>4.2</v>
      </c>
    </row>
    <row r="339" spans="1:28" ht="14.5">
      <c r="A339" s="394">
        <f t="shared" si="13"/>
        <v>45262</v>
      </c>
      <c r="B339" s="393">
        <v>69.5</v>
      </c>
      <c r="C339" s="366">
        <v>29.866</v>
      </c>
      <c r="D339" s="308">
        <f>C339*[5]Constants!$B$19</f>
        <v>1011.382224</v>
      </c>
      <c r="E339" s="373" t="s">
        <v>103</v>
      </c>
      <c r="F339" s="310">
        <f>100*((([5]Constants!$B$25*EXP(([5]Constants!$B$24*J339)/(J339+[5]Constants!$B$23)))-0.8*(H339-J339))/([5]Constants!$B$25*EXP(([5]Constants!$B$24*H339)/(H339+[5]Constants!$B$23))))</f>
        <v>90.536809449935319</v>
      </c>
      <c r="G339" s="311">
        <f>([5]Constants!$B$23*LN((([5]Constants!$B$25*EXP(([5]Constants!$B$24*J339)/(J339+[5]Constants!$B$23)))-0.8*(H339-J339))/[5]Constants!$B$25))/([5]Constants!$B$24-LN((([5]Constants!$B$25*EXP(([5]Constants!$B$24*J339)/(J339+[5]Constants!$B$23)))-0.8*(H339-J339))/[5]Constants!$B$25))</f>
        <v>-4.3290282132133839</v>
      </c>
      <c r="H339" s="338">
        <v>-3</v>
      </c>
      <c r="I339" s="314">
        <v>-3</v>
      </c>
      <c r="J339" s="342">
        <v>-3.4</v>
      </c>
      <c r="K339" s="342">
        <v>3.9</v>
      </c>
      <c r="L339" s="366" t="s">
        <v>103</v>
      </c>
      <c r="M339" s="43">
        <f t="shared" si="12"/>
        <v>0.39999999999999991</v>
      </c>
      <c r="N339" s="374">
        <v>-3.1</v>
      </c>
      <c r="O339" s="374">
        <v>-5.5</v>
      </c>
      <c r="P339" s="374">
        <v>-3.6</v>
      </c>
      <c r="Q339" s="342" t="s">
        <v>103</v>
      </c>
      <c r="R339" s="342">
        <v>4.5999999999999996</v>
      </c>
      <c r="S339" s="342">
        <v>9.3000000000000007</v>
      </c>
      <c r="T339" s="308">
        <v>2</v>
      </c>
      <c r="U339" s="342">
        <v>4</v>
      </c>
      <c r="V339" s="342"/>
      <c r="W339" s="314">
        <v>0</v>
      </c>
      <c r="X339" s="342">
        <v>3</v>
      </c>
      <c r="Y339" s="342">
        <v>9</v>
      </c>
      <c r="Z339" s="342">
        <v>43</v>
      </c>
      <c r="AA339" s="336">
        <v>0</v>
      </c>
      <c r="AB339" s="322">
        <f>AA339-(AA339*[5]Constants!$B$30)</f>
        <v>0</v>
      </c>
    </row>
    <row r="340" spans="1:28" ht="14.5">
      <c r="A340" s="394">
        <f t="shared" si="13"/>
        <v>45263</v>
      </c>
      <c r="B340" s="393">
        <v>68.7</v>
      </c>
      <c r="C340" s="342">
        <v>29.713999999999999</v>
      </c>
      <c r="D340" s="308">
        <f>C340*[5]Constants!$B$19</f>
        <v>1006.2348959999998</v>
      </c>
      <c r="E340" s="373" t="s">
        <v>103</v>
      </c>
      <c r="F340" s="310">
        <f>100*((([5]Constants!$B$25*EXP(([5]Constants!$B$24*J340)/(J340+[5]Constants!$B$23)))-0.8*(H340-J340))/([5]Constants!$B$25*EXP(([5]Constants!$B$24*H340)/(H340+[5]Constants!$B$23))))</f>
        <v>98.300975051765832</v>
      </c>
      <c r="G340" s="311">
        <f>([5]Constants!$B$23*LN((([5]Constants!$B$25*EXP(([5]Constants!$B$24*J340)/(J340+[5]Constants!$B$23)))-0.8*(H340-J340))/[5]Constants!$B$25))/([5]Constants!$B$24-LN((([5]Constants!$B$25*EXP(([5]Constants!$B$24*J340)/(J340+[5]Constants!$B$23)))-0.8*(H340-J340))/[5]Constants!$B$25))</f>
        <v>3.5566671688211158</v>
      </c>
      <c r="H340" s="355">
        <v>3.8</v>
      </c>
      <c r="I340" s="342">
        <v>3.9</v>
      </c>
      <c r="J340" s="334">
        <v>3.7</v>
      </c>
      <c r="K340" s="314">
        <v>8</v>
      </c>
      <c r="L340" s="366" t="s">
        <v>103</v>
      </c>
      <c r="M340" s="43">
        <f t="shared" si="12"/>
        <v>2.2999999999999998</v>
      </c>
      <c r="N340" s="374">
        <v>-3.4</v>
      </c>
      <c r="O340" s="374">
        <v>-3.2</v>
      </c>
      <c r="P340" s="374">
        <v>-2.7</v>
      </c>
      <c r="Q340" s="342" t="s">
        <v>103</v>
      </c>
      <c r="R340" s="342">
        <v>4.4000000000000004</v>
      </c>
      <c r="S340" s="342">
        <v>9.1</v>
      </c>
      <c r="T340" s="308">
        <v>10.8</v>
      </c>
      <c r="U340" s="342">
        <v>1</v>
      </c>
      <c r="V340" s="342"/>
      <c r="W340" s="342">
        <v>0</v>
      </c>
      <c r="X340" s="342">
        <v>6</v>
      </c>
      <c r="Y340" s="342">
        <v>8</v>
      </c>
      <c r="Z340" s="342">
        <v>60</v>
      </c>
      <c r="AA340" s="336">
        <v>7</v>
      </c>
      <c r="AB340" s="322">
        <f>AA340-(AA340*[5]Constants!$B$30)</f>
        <v>4.9000000000000004</v>
      </c>
    </row>
    <row r="341" spans="1:28" ht="14.5">
      <c r="A341" s="394">
        <f t="shared" si="13"/>
        <v>45264</v>
      </c>
      <c r="B341" s="362">
        <v>69.099999999999994</v>
      </c>
      <c r="C341" s="332">
        <v>29.204999999999998</v>
      </c>
      <c r="D341" s="308">
        <f>C341*[5]Constants!$B$19</f>
        <v>988.99811999999986</v>
      </c>
      <c r="E341" s="308" t="s">
        <v>103</v>
      </c>
      <c r="F341" s="310">
        <f>100*((([5]Constants!$B$25*EXP(([5]Constants!$B$24*J341)/(J341+[5]Constants!$B$23)))-0.8*(H341-J341))/([5]Constants!$B$25*EXP(([5]Constants!$B$24*H341)/(H341+[5]Constants!$B$23))))</f>
        <v>98.517547998944011</v>
      </c>
      <c r="G341" s="311">
        <f>([5]Constants!$B$23*LN((([5]Constants!$B$25*EXP(([5]Constants!$B$24*J341)/(J341+[5]Constants!$B$23)))-0.8*(H341-J341))/[5]Constants!$B$25))/([5]Constants!$B$24-LN((([5]Constants!$B$25*EXP(([5]Constants!$B$24*J341)/(J341+[5]Constants!$B$23)))-0.8*(H341-J341))/[5]Constants!$B$25))</f>
        <v>6.7823682381723289</v>
      </c>
      <c r="H341" s="333">
        <v>7</v>
      </c>
      <c r="I341" s="333">
        <v>7.2</v>
      </c>
      <c r="J341" s="308">
        <v>6.9</v>
      </c>
      <c r="K341" s="314">
        <v>7.8</v>
      </c>
      <c r="L341" s="313" t="s">
        <v>103</v>
      </c>
      <c r="M341" s="43">
        <f t="shared" si="12"/>
        <v>5.75</v>
      </c>
      <c r="N341" s="316">
        <v>3.7</v>
      </c>
      <c r="O341" s="316">
        <v>3</v>
      </c>
      <c r="P341" s="316">
        <v>3.5</v>
      </c>
      <c r="Q341" s="314" t="s">
        <v>103</v>
      </c>
      <c r="R341" s="308">
        <v>5.5</v>
      </c>
      <c r="S341" s="314">
        <v>8.6999999999999993</v>
      </c>
      <c r="T341" s="308">
        <v>4.4000000000000004</v>
      </c>
      <c r="U341" s="334">
        <v>1</v>
      </c>
      <c r="V341" s="319"/>
      <c r="W341" s="314">
        <v>0</v>
      </c>
      <c r="X341" s="334">
        <v>6</v>
      </c>
      <c r="Y341" s="334">
        <v>8</v>
      </c>
      <c r="Z341" s="335" t="s">
        <v>111</v>
      </c>
      <c r="AA341" s="336">
        <v>8</v>
      </c>
      <c r="AB341" s="322">
        <f>AA341-(AA341*[5]Constants!$B$30)</f>
        <v>5.6</v>
      </c>
    </row>
    <row r="342" spans="1:28" ht="14.5">
      <c r="A342" s="394">
        <f t="shared" si="13"/>
        <v>45265</v>
      </c>
      <c r="B342" s="338">
        <v>70.2</v>
      </c>
      <c r="C342" s="337">
        <v>29.54</v>
      </c>
      <c r="D342" s="308">
        <f>C342*[5]Constants!$B$19</f>
        <v>1000.3425599999999</v>
      </c>
      <c r="E342" s="309" t="s">
        <v>103</v>
      </c>
      <c r="F342" s="310">
        <f>100*((([5]Constants!$B$25*EXP(([5]Constants!$B$24*J342)/(J342+[5]Constants!$B$23)))-0.8*(H342-J342))/([5]Constants!$B$25*EXP(([5]Constants!$B$24*H342)/(H342+[5]Constants!$B$23))))</f>
        <v>93.5779645881627</v>
      </c>
      <c r="G342" s="311">
        <f>([5]Constants!$B$23*LN((([5]Constants!$B$25*EXP(([5]Constants!$B$24*J342)/(J342+[5]Constants!$B$23)))-0.8*(H342-J342))/[5]Constants!$B$25))/([5]Constants!$B$24-LN((([5]Constants!$B$25*EXP(([5]Constants!$B$24*J342)/(J342+[5]Constants!$B$23)))-0.8*(H342-J342))/[5]Constants!$B$25))</f>
        <v>4.0510097327043919</v>
      </c>
      <c r="H342" s="338">
        <v>5</v>
      </c>
      <c r="I342" s="314">
        <v>5</v>
      </c>
      <c r="J342" s="314">
        <v>4.5999999999999996</v>
      </c>
      <c r="K342" s="314">
        <v>6.2</v>
      </c>
      <c r="L342" s="313" t="s">
        <v>103</v>
      </c>
      <c r="M342" s="43">
        <f t="shared" si="12"/>
        <v>5.4</v>
      </c>
      <c r="N342" s="316">
        <v>4.5999999999999996</v>
      </c>
      <c r="O342" s="316">
        <v>4.2</v>
      </c>
      <c r="P342" s="316">
        <v>3.5</v>
      </c>
      <c r="Q342" s="314" t="s">
        <v>103</v>
      </c>
      <c r="R342" s="314">
        <v>6.2</v>
      </c>
      <c r="S342" s="314">
        <v>8.6999999999999993</v>
      </c>
      <c r="T342" s="308">
        <v>0.9</v>
      </c>
      <c r="U342" s="339">
        <v>1</v>
      </c>
      <c r="V342" s="319"/>
      <c r="W342" s="314">
        <v>0</v>
      </c>
      <c r="X342" s="339">
        <v>8</v>
      </c>
      <c r="Y342" s="339">
        <v>8</v>
      </c>
      <c r="Z342" s="335" t="s">
        <v>82</v>
      </c>
      <c r="AA342" s="336">
        <v>8</v>
      </c>
      <c r="AB342" s="322">
        <f>AA342-(AA342*[5]Constants!$B$30)</f>
        <v>5.6</v>
      </c>
    </row>
    <row r="343" spans="1:28" ht="14.5">
      <c r="A343" s="394">
        <f t="shared" si="13"/>
        <v>45266</v>
      </c>
      <c r="B343" s="338">
        <v>69.400000000000006</v>
      </c>
      <c r="C343" s="337">
        <v>29.85</v>
      </c>
      <c r="D343" s="308">
        <f>C343*[5]Constants!$B$19</f>
        <v>1010.8403999999999</v>
      </c>
      <c r="E343" s="308" t="s">
        <v>103</v>
      </c>
      <c r="F343" s="310">
        <f>100*((([5]Constants!$B$25*EXP(([5]Constants!$B$24*J343)/(J343+[5]Constants!$B$23)))-0.8*(H343-J343))/([5]Constants!$B$25*EXP(([5]Constants!$B$24*H343)/(H343+[5]Constants!$B$23))))</f>
        <v>89.732117182851965</v>
      </c>
      <c r="G343" s="311">
        <f>([5]Constants!$B$23*LN((([5]Constants!$B$25*EXP(([5]Constants!$B$24*J343)/(J343+[5]Constants!$B$23)))-0.8*(H343-J343))/[5]Constants!$B$25))/([5]Constants!$B$24-LN((([5]Constants!$B$25*EXP(([5]Constants!$B$24*J343)/(J343+[5]Constants!$B$23)))-0.8*(H343-J343))/[5]Constants!$B$25))</f>
        <v>-1.7802489342819421</v>
      </c>
      <c r="H343" s="338">
        <v>-0.3</v>
      </c>
      <c r="I343" s="314">
        <v>-0.3</v>
      </c>
      <c r="J343" s="314">
        <v>-0.8</v>
      </c>
      <c r="K343" s="314">
        <v>7.3</v>
      </c>
      <c r="L343" s="313" t="s">
        <v>103</v>
      </c>
      <c r="M343" s="43">
        <f t="shared" si="12"/>
        <v>3</v>
      </c>
      <c r="N343" s="316">
        <v>-1.3</v>
      </c>
      <c r="O343" s="316">
        <v>-5.9</v>
      </c>
      <c r="P343" s="316">
        <v>-2.8</v>
      </c>
      <c r="Q343" s="314" t="s">
        <v>103</v>
      </c>
      <c r="R343" s="314">
        <v>6.2</v>
      </c>
      <c r="S343" s="314">
        <v>8.6999999999999993</v>
      </c>
      <c r="T343" s="308">
        <v>3.3</v>
      </c>
      <c r="U343" s="339">
        <v>1</v>
      </c>
      <c r="V343" s="340"/>
      <c r="W343" s="314">
        <v>2.1</v>
      </c>
      <c r="X343" s="339">
        <v>8</v>
      </c>
      <c r="Y343" s="339">
        <v>1</v>
      </c>
      <c r="Z343" s="335" t="s">
        <v>87</v>
      </c>
      <c r="AA343" s="336">
        <v>1</v>
      </c>
      <c r="AB343" s="322">
        <f>AA343-(AA343*[5]Constants!$B$30)</f>
        <v>0.7</v>
      </c>
    </row>
    <row r="344" spans="1:28" ht="14.5">
      <c r="A344" s="394">
        <f t="shared" si="13"/>
        <v>45267</v>
      </c>
      <c r="B344" s="338">
        <v>69.599999999999994</v>
      </c>
      <c r="C344" s="337">
        <v>29.59</v>
      </c>
      <c r="D344" s="308">
        <f>C344*[5]Constants!$B$19</f>
        <v>1002.0357599999999</v>
      </c>
      <c r="E344" s="309" t="s">
        <v>103</v>
      </c>
      <c r="F344" s="310">
        <f>100*((([5]Constants!$B$25*EXP(([5]Constants!$B$24*J344)/(J344+[5]Constants!$B$23)))-0.8*(H344-J344))/([5]Constants!$B$25*EXP(([5]Constants!$B$24*H344)/(H344+[5]Constants!$B$23))))</f>
        <v>91.20274840029272</v>
      </c>
      <c r="G344" s="311">
        <f>([5]Constants!$B$23*LN((([5]Constants!$B$25*EXP(([5]Constants!$B$24*J344)/(J344+[5]Constants!$B$23)))-0.8*(H344-J344))/[5]Constants!$B$25))/([5]Constants!$B$24-LN((([5]Constants!$B$25*EXP(([5]Constants!$B$24*J344)/(J344+[5]Constants!$B$23)))-0.8*(H344-J344))/[5]Constants!$B$25))</f>
        <v>5.7631176484532673</v>
      </c>
      <c r="H344" s="338">
        <v>7.1</v>
      </c>
      <c r="I344" s="314">
        <v>7.3</v>
      </c>
      <c r="J344" s="314">
        <v>6.5</v>
      </c>
      <c r="K344" s="314"/>
      <c r="L344" s="313" t="s">
        <v>103</v>
      </c>
      <c r="M344" s="43"/>
      <c r="N344" s="317">
        <v>-0.3</v>
      </c>
      <c r="O344" s="316">
        <v>-3.2</v>
      </c>
      <c r="P344" s="316">
        <v>-0.4</v>
      </c>
      <c r="Q344" s="314" t="s">
        <v>103</v>
      </c>
      <c r="R344" s="314">
        <v>5.6</v>
      </c>
      <c r="S344" s="314">
        <v>8.6999999999999993</v>
      </c>
      <c r="T344" s="308">
        <v>5.2</v>
      </c>
      <c r="U344" s="339">
        <v>1</v>
      </c>
      <c r="V344" s="341"/>
      <c r="W344" s="314">
        <v>0</v>
      </c>
      <c r="X344" s="342">
        <v>8</v>
      </c>
      <c r="Y344" s="342">
        <v>8</v>
      </c>
      <c r="Z344" s="335" t="s">
        <v>82</v>
      </c>
      <c r="AA344" s="336">
        <v>15</v>
      </c>
      <c r="AB344" s="322">
        <f>AA344-(AA344*[5]Constants!$B$30)</f>
        <v>10.5</v>
      </c>
    </row>
    <row r="345" spans="1:28" ht="14.5">
      <c r="A345" s="394">
        <f t="shared" si="13"/>
        <v>45268</v>
      </c>
      <c r="B345" s="338">
        <v>70.2</v>
      </c>
      <c r="C345" s="337">
        <v>29.481999999999999</v>
      </c>
      <c r="D345" s="308">
        <f>C345*[5]Constants!$B$19</f>
        <v>998.37844799999993</v>
      </c>
      <c r="E345" s="308" t="s">
        <v>103</v>
      </c>
      <c r="F345" s="310">
        <f>100*((([5]Constants!$B$25*EXP(([5]Constants!$B$24*J345)/(J345+[5]Constants!$B$23)))-0.8*(H345-J345))/([5]Constants!$B$25*EXP(([5]Constants!$B$24*H345)/(H345+[5]Constants!$B$23))))</f>
        <v>96.965452213678375</v>
      </c>
      <c r="G345" s="311">
        <f>([5]Constants!$B$23*LN((([5]Constants!$B$25*EXP(([5]Constants!$B$24*J345)/(J345+[5]Constants!$B$23)))-0.8*(H345-J345))/[5]Constants!$B$25))/([5]Constants!$B$24-LN((([5]Constants!$B$25*EXP(([5]Constants!$B$24*J345)/(J345+[5]Constants!$B$23)))-0.8*(H345-J345))/[5]Constants!$B$25))</f>
        <v>5.9535336976322784</v>
      </c>
      <c r="H345" s="338">
        <v>6.4</v>
      </c>
      <c r="I345" s="314">
        <v>6.7</v>
      </c>
      <c r="J345" s="314">
        <v>6.2</v>
      </c>
      <c r="K345" s="314">
        <v>10.6</v>
      </c>
      <c r="L345" s="313" t="s">
        <v>103</v>
      </c>
      <c r="M345" s="43">
        <f t="shared" ref="M345:M368" si="14">AVERAGE(K345,N345)</f>
        <v>7.1999999999999993</v>
      </c>
      <c r="N345" s="316">
        <v>3.8</v>
      </c>
      <c r="O345" s="316">
        <v>1.2</v>
      </c>
      <c r="P345" s="316">
        <v>0.9</v>
      </c>
      <c r="Q345" s="314" t="s">
        <v>103</v>
      </c>
      <c r="R345" s="314">
        <v>6.2</v>
      </c>
      <c r="S345" s="314">
        <v>8.5</v>
      </c>
      <c r="T345" s="314">
        <v>10.7</v>
      </c>
      <c r="U345" s="339">
        <v>1</v>
      </c>
      <c r="V345" s="308"/>
      <c r="W345" s="308">
        <v>2.5</v>
      </c>
      <c r="X345" s="339">
        <v>8</v>
      </c>
      <c r="Y345" s="339">
        <v>0</v>
      </c>
      <c r="Z345" s="335" t="s">
        <v>82</v>
      </c>
      <c r="AA345" s="336">
        <v>9</v>
      </c>
      <c r="AB345" s="322">
        <f>AA345-(AA345*[5]Constants!$B$30)</f>
        <v>6.3000000000000007</v>
      </c>
    </row>
    <row r="346" spans="1:28" ht="14.5">
      <c r="A346" s="394">
        <f t="shared" si="13"/>
        <v>45269</v>
      </c>
      <c r="B346" s="338">
        <v>70.400000000000006</v>
      </c>
      <c r="C346" s="337">
        <v>29.091999999999999</v>
      </c>
      <c r="D346" s="308">
        <f>C346*[5]Constants!$B$19</f>
        <v>985.17148799999984</v>
      </c>
      <c r="E346" s="309" t="s">
        <v>103</v>
      </c>
      <c r="F346" s="310">
        <f>100*((([5]Constants!$B$25*EXP(([5]Constants!$B$24*J346)/(J346+[5]Constants!$B$23)))-0.8*(H346-J346))/([5]Constants!$B$25*EXP(([5]Constants!$B$24*H346)/(H346+[5]Constants!$B$23))))</f>
        <v>98.655651722357362</v>
      </c>
      <c r="G346" s="311">
        <f>([5]Constants!$B$23*LN((([5]Constants!$B$25*EXP(([5]Constants!$B$24*J346)/(J346+[5]Constants!$B$23)))-0.8*(H346-J346))/[5]Constants!$B$25))/([5]Constants!$B$24-LN((([5]Constants!$B$25*EXP(([5]Constants!$B$24*J346)/(J346+[5]Constants!$B$23)))-0.8*(H346-J346))/[5]Constants!$B$25))</f>
        <v>9.2988094741446226</v>
      </c>
      <c r="H346" s="338">
        <v>9.5</v>
      </c>
      <c r="I346" s="314">
        <v>9.6999999999999993</v>
      </c>
      <c r="J346" s="314">
        <v>9.4</v>
      </c>
      <c r="K346" s="314">
        <v>12.7</v>
      </c>
      <c r="L346" s="313" t="s">
        <v>103</v>
      </c>
      <c r="M346" s="43">
        <f t="shared" si="14"/>
        <v>9.5</v>
      </c>
      <c r="N346" s="314">
        <v>6.3</v>
      </c>
      <c r="O346" s="314">
        <v>2.6</v>
      </c>
      <c r="P346" s="314">
        <v>3.5</v>
      </c>
      <c r="Q346" s="314" t="s">
        <v>103</v>
      </c>
      <c r="R346" s="314">
        <v>6.2</v>
      </c>
      <c r="S346" s="314">
        <v>8.5</v>
      </c>
      <c r="T346" s="314">
        <v>3.4</v>
      </c>
      <c r="U346" s="343">
        <v>1</v>
      </c>
      <c r="V346" s="344"/>
      <c r="W346" s="314">
        <v>0</v>
      </c>
      <c r="X346" s="339">
        <v>6</v>
      </c>
      <c r="Y346" s="339">
        <v>8</v>
      </c>
      <c r="Z346" s="335" t="s">
        <v>82</v>
      </c>
      <c r="AA346" s="336">
        <v>18</v>
      </c>
      <c r="AB346" s="322">
        <f>AA346-(AA346*[5]Constants!$B$30)</f>
        <v>12.600000000000001</v>
      </c>
    </row>
    <row r="347" spans="1:28" ht="14.5">
      <c r="A347" s="394">
        <f t="shared" si="13"/>
        <v>45270</v>
      </c>
      <c r="B347" s="390">
        <v>71.599999999999994</v>
      </c>
      <c r="C347" s="337">
        <v>29.49</v>
      </c>
      <c r="D347" s="308">
        <f>C347*[5]Constants!$B$19</f>
        <v>998.64935999999989</v>
      </c>
      <c r="E347" s="308" t="s">
        <v>103</v>
      </c>
      <c r="F347" s="310">
        <f>100*((([5]Constants!$B$25*EXP(([5]Constants!$B$24*J347)/(J347+[5]Constants!$B$23)))-0.8*(H347-J347))/([5]Constants!$B$25*EXP(([5]Constants!$B$24*H347)/(H347+[5]Constants!$B$23))))</f>
        <v>90.381963129370575</v>
      </c>
      <c r="G347" s="311">
        <f>([5]Constants!$B$23*LN((([5]Constants!$B$25*EXP(([5]Constants!$B$24*J347)/(J347+[5]Constants!$B$23)))-0.8*(H347-J347))/[5]Constants!$B$25))/([5]Constants!$B$24-LN((([5]Constants!$B$25*EXP(([5]Constants!$B$24*J347)/(J347+[5]Constants!$B$23)))-0.8*(H347-J347))/[5]Constants!$B$25))</f>
        <v>7.2138984290562531</v>
      </c>
      <c r="H347" s="338">
        <v>8.6999999999999993</v>
      </c>
      <c r="I347" s="314">
        <v>8.8000000000000007</v>
      </c>
      <c r="J347" s="314">
        <v>8</v>
      </c>
      <c r="K347" s="314">
        <v>12.1</v>
      </c>
      <c r="L347" s="313" t="s">
        <v>103</v>
      </c>
      <c r="M347" s="43">
        <f t="shared" si="14"/>
        <v>9.4</v>
      </c>
      <c r="N347" s="314">
        <v>6.7</v>
      </c>
      <c r="O347" s="314">
        <v>2</v>
      </c>
      <c r="P347" s="314">
        <v>2.6</v>
      </c>
      <c r="Q347" s="314" t="s">
        <v>103</v>
      </c>
      <c r="R347" s="314">
        <v>6.6</v>
      </c>
      <c r="S347" s="314">
        <v>8.5</v>
      </c>
      <c r="T347" s="314">
        <v>0.4</v>
      </c>
      <c r="U347" s="339">
        <v>1</v>
      </c>
      <c r="V347" s="345"/>
      <c r="W347" s="314">
        <v>0</v>
      </c>
      <c r="X347" s="339">
        <v>7</v>
      </c>
      <c r="Y347" s="339">
        <v>8</v>
      </c>
      <c r="Z347" s="335" t="s">
        <v>82</v>
      </c>
      <c r="AA347" s="336">
        <v>4</v>
      </c>
      <c r="AB347" s="322">
        <f>AA347-(AA347*[5]Constants!$B$30)</f>
        <v>2.8</v>
      </c>
    </row>
    <row r="348" spans="1:28" ht="14.5">
      <c r="A348" s="394">
        <f t="shared" si="13"/>
        <v>45271</v>
      </c>
      <c r="B348" s="390">
        <v>72.099999999999994</v>
      </c>
      <c r="C348" s="337">
        <v>29.55</v>
      </c>
      <c r="D348" s="308">
        <f>C348*[5]Constants!$B$19</f>
        <v>1000.6812</v>
      </c>
      <c r="E348" s="308" t="s">
        <v>103</v>
      </c>
      <c r="F348" s="310">
        <f>100*((([5]Constants!$B$25*EXP(([5]Constants!$B$24*J348)/(J348+[5]Constants!$B$23)))-0.8*(H348-J348))/([5]Constants!$B$25*EXP(([5]Constants!$B$24*H348)/(H348+[5]Constants!$B$23))))</f>
        <v>68.248230380255094</v>
      </c>
      <c r="G348" s="311">
        <f>([5]Constants!$B$23*LN((([5]Constants!$B$25*EXP(([5]Constants!$B$24*J348)/(J348+[5]Constants!$B$23)))-0.8*(H348-J348))/[5]Constants!$B$25))/([5]Constants!$B$24-LN((([5]Constants!$B$25*EXP(([5]Constants!$B$24*J348)/(J348+[5]Constants!$B$23)))-0.8*(H348-J348))/[5]Constants!$B$25))</f>
        <v>5.4719505264366397</v>
      </c>
      <c r="H348" s="338">
        <v>11.1</v>
      </c>
      <c r="I348" s="314">
        <v>11.2</v>
      </c>
      <c r="J348" s="314">
        <v>8.5</v>
      </c>
      <c r="K348" s="314">
        <v>11.3</v>
      </c>
      <c r="L348" s="313" t="s">
        <v>103</v>
      </c>
      <c r="M348" s="43">
        <f t="shared" si="14"/>
        <v>9.8000000000000007</v>
      </c>
      <c r="N348" s="314">
        <v>8.3000000000000007</v>
      </c>
      <c r="O348" s="314">
        <v>4.4000000000000004</v>
      </c>
      <c r="P348" s="314">
        <v>5.3</v>
      </c>
      <c r="Q348" s="314" t="s">
        <v>103</v>
      </c>
      <c r="R348" s="314">
        <v>7</v>
      </c>
      <c r="S348" s="314">
        <v>8.5</v>
      </c>
      <c r="T348" s="314">
        <v>12.7</v>
      </c>
      <c r="U348" s="339">
        <v>1</v>
      </c>
      <c r="V348" s="346"/>
      <c r="W348" s="308">
        <v>4</v>
      </c>
      <c r="X348" s="339">
        <v>8</v>
      </c>
      <c r="Y348" s="339">
        <v>5</v>
      </c>
      <c r="Z348" s="335" t="s">
        <v>82</v>
      </c>
      <c r="AA348" s="336">
        <v>10</v>
      </c>
      <c r="AB348" s="322">
        <f>AA348-(AA348*[5]Constants!$B$30)</f>
        <v>7</v>
      </c>
    </row>
    <row r="349" spans="1:28" ht="14.5">
      <c r="A349" s="394">
        <f t="shared" si="13"/>
        <v>45272</v>
      </c>
      <c r="B349" s="390">
        <v>72.2</v>
      </c>
      <c r="C349" s="332">
        <v>29.324000000000002</v>
      </c>
      <c r="D349" s="308">
        <f>C349*[5]Constants!$B$19</f>
        <v>993.02793599999995</v>
      </c>
      <c r="E349" s="309" t="s">
        <v>103</v>
      </c>
      <c r="F349" s="310">
        <f>100*((([5]Constants!$B$25*EXP(([5]Constants!$B$24*J349)/(J349+[5]Constants!$B$23)))-0.8*(H349-J349))/([5]Constants!$B$25*EXP(([5]Constants!$B$24*H349)/(H349+[5]Constants!$B$23))))</f>
        <v>97.263827300044426</v>
      </c>
      <c r="G349" s="311">
        <f>([5]Constants!$B$23*LN((([5]Constants!$B$25*EXP(([5]Constants!$B$24*J349)/(J349+[5]Constants!$B$23)))-0.8*(H349-J349))/[5]Constants!$B$25))/([5]Constants!$B$24-LN((([5]Constants!$B$25*EXP(([5]Constants!$B$24*J349)/(J349+[5]Constants!$B$23)))-0.8*(H349-J349))/[5]Constants!$B$25))</f>
        <v>8.5895742009152301</v>
      </c>
      <c r="H349" s="338">
        <v>9</v>
      </c>
      <c r="I349" s="314">
        <v>9.1</v>
      </c>
      <c r="J349" s="314">
        <v>8.8000000000000007</v>
      </c>
      <c r="K349" s="347">
        <v>11.2</v>
      </c>
      <c r="L349" s="313" t="s">
        <v>103</v>
      </c>
      <c r="M349" s="43">
        <f t="shared" si="14"/>
        <v>9.3000000000000007</v>
      </c>
      <c r="N349" s="314">
        <v>7.4</v>
      </c>
      <c r="O349" s="314">
        <v>2.9</v>
      </c>
      <c r="P349" s="316">
        <v>3.9</v>
      </c>
      <c r="Q349" s="313" t="s">
        <v>103</v>
      </c>
      <c r="R349" s="314">
        <v>7.2</v>
      </c>
      <c r="S349" s="314">
        <v>8.5</v>
      </c>
      <c r="T349" s="314">
        <v>3.2</v>
      </c>
      <c r="U349" s="339">
        <v>1</v>
      </c>
      <c r="V349" s="344"/>
      <c r="W349" s="314">
        <v>0.5</v>
      </c>
      <c r="X349" s="339">
        <v>7</v>
      </c>
      <c r="Y349" s="339">
        <v>3</v>
      </c>
      <c r="Z349" s="335" t="s">
        <v>82</v>
      </c>
      <c r="AA349" s="336">
        <v>12</v>
      </c>
      <c r="AB349" s="322">
        <f>AA349-(AA349*[5]Constants!$B$30)</f>
        <v>8.4</v>
      </c>
    </row>
    <row r="350" spans="1:28" ht="14.5">
      <c r="A350" s="394">
        <f t="shared" si="13"/>
        <v>45273</v>
      </c>
      <c r="B350" s="338">
        <v>72.599999999999994</v>
      </c>
      <c r="C350" s="332">
        <v>29.5</v>
      </c>
      <c r="D350" s="308">
        <f>C350*[5]Constants!$B$19</f>
        <v>998.98799999999994</v>
      </c>
      <c r="E350" s="308" t="s">
        <v>103</v>
      </c>
      <c r="F350" s="310">
        <f>100*((([5]Constants!$B$25*EXP(([5]Constants!$B$24*J350)/(J350+[5]Constants!$B$23)))-0.8*(H350-J350))/([5]Constants!$B$25*EXP(([5]Constants!$B$24*H350)/(H350+[5]Constants!$B$23))))</f>
        <v>94.094901200770281</v>
      </c>
      <c r="G350" s="311">
        <f>([5]Constants!$B$23*LN((([5]Constants!$B$25*EXP(([5]Constants!$B$24*J350)/(J350+[5]Constants!$B$23)))-0.8*(H350-J350))/[5]Constants!$B$25))/([5]Constants!$B$24-LN((([5]Constants!$B$25*EXP(([5]Constants!$B$24*J350)/(J350+[5]Constants!$B$23)))-0.8*(H350-J350))/[5]Constants!$B$25))</f>
        <v>6.1154532939920072</v>
      </c>
      <c r="H350" s="338">
        <v>7</v>
      </c>
      <c r="I350" s="314">
        <v>7.1</v>
      </c>
      <c r="J350" s="336">
        <v>6.6</v>
      </c>
      <c r="K350" s="375">
        <v>7.2</v>
      </c>
      <c r="L350" s="376" t="s">
        <v>103</v>
      </c>
      <c r="M350" s="43">
        <f t="shared" si="14"/>
        <v>6.95</v>
      </c>
      <c r="N350" s="314">
        <v>6.7</v>
      </c>
      <c r="O350" s="316">
        <v>6.1</v>
      </c>
      <c r="P350" s="316">
        <v>6.5</v>
      </c>
      <c r="Q350" s="313" t="s">
        <v>103</v>
      </c>
      <c r="R350" s="314">
        <v>7.5</v>
      </c>
      <c r="S350" s="314">
        <v>8.5</v>
      </c>
      <c r="T350" s="314">
        <v>0.3</v>
      </c>
      <c r="U350" s="339">
        <v>1</v>
      </c>
      <c r="V350" s="314"/>
      <c r="W350" s="314">
        <v>0</v>
      </c>
      <c r="X350" s="339">
        <v>8</v>
      </c>
      <c r="Y350" s="339">
        <v>8</v>
      </c>
      <c r="Z350" s="335" t="s">
        <v>82</v>
      </c>
      <c r="AA350" s="336">
        <v>11</v>
      </c>
      <c r="AB350" s="322">
        <f>AA350-(AA350*[5]Constants!$B$30)</f>
        <v>7.7</v>
      </c>
    </row>
    <row r="351" spans="1:28" ht="14.5">
      <c r="A351" s="394">
        <f t="shared" si="13"/>
        <v>45274</v>
      </c>
      <c r="B351" s="338">
        <v>71.2</v>
      </c>
      <c r="C351" s="332">
        <v>29.981999999999999</v>
      </c>
      <c r="D351" s="308">
        <f>C351*[5]Constants!$B$19</f>
        <v>1015.3104479999998</v>
      </c>
      <c r="E351" s="308" t="s">
        <v>103</v>
      </c>
      <c r="F351" s="310">
        <f>100*((([5]Constants!$B$25*EXP(([5]Constants!$B$24*J351)/(J351+[5]Constants!$B$23)))-0.8*(H351-J351))/([5]Constants!$B$25*EXP(([5]Constants!$B$24*H351)/(H351+[5]Constants!$B$23))))</f>
        <v>90.005447352545957</v>
      </c>
      <c r="G351" s="311">
        <f>([5]Constants!$B$23*LN((([5]Constants!$B$25*EXP(([5]Constants!$B$24*J351)/(J351+[5]Constants!$B$23)))-0.8*(H351-J351))/[5]Constants!$B$25))/([5]Constants!$B$24-LN((([5]Constants!$B$25*EXP(([5]Constants!$B$24*J351)/(J351+[5]Constants!$B$23)))-0.8*(H351-J351))/[5]Constants!$B$25))</f>
        <v>2.6086815369695788</v>
      </c>
      <c r="H351" s="338">
        <v>4.0999999999999996</v>
      </c>
      <c r="I351" s="314">
        <v>4.2</v>
      </c>
      <c r="J351" s="314">
        <v>3.5</v>
      </c>
      <c r="K351" s="250">
        <v>8.6</v>
      </c>
      <c r="L351" s="313" t="s">
        <v>103</v>
      </c>
      <c r="M351" s="43">
        <f t="shared" si="14"/>
        <v>4.8</v>
      </c>
      <c r="N351" s="314">
        <v>1</v>
      </c>
      <c r="O351" s="314">
        <v>-1.5</v>
      </c>
      <c r="P351" s="314">
        <v>-0.5</v>
      </c>
      <c r="Q351" s="313" t="s">
        <v>103</v>
      </c>
      <c r="R351" s="314">
        <v>7</v>
      </c>
      <c r="S351" s="314">
        <v>8.5</v>
      </c>
      <c r="T351" s="314">
        <v>0.4</v>
      </c>
      <c r="U351" s="339">
        <v>1</v>
      </c>
      <c r="V351" s="319"/>
      <c r="W351" s="314">
        <v>0.8</v>
      </c>
      <c r="X351" s="339">
        <v>8</v>
      </c>
      <c r="Y351" s="339">
        <v>8</v>
      </c>
      <c r="Z351" s="335" t="s">
        <v>82</v>
      </c>
      <c r="AA351" s="336">
        <v>0</v>
      </c>
      <c r="AB351" s="322">
        <f>AA351-(AA351*[5]Constants!$B$30)</f>
        <v>0</v>
      </c>
    </row>
    <row r="352" spans="1:28" ht="14.5">
      <c r="A352" s="394">
        <f t="shared" si="13"/>
        <v>45275</v>
      </c>
      <c r="B352" s="349">
        <v>72.400000000000006</v>
      </c>
      <c r="C352" s="332">
        <v>30.457999999999998</v>
      </c>
      <c r="D352" s="308">
        <f>C352*[5]Constants!$B$19</f>
        <v>1031.4297119999999</v>
      </c>
      <c r="E352" s="309" t="s">
        <v>103</v>
      </c>
      <c r="F352" s="310">
        <f>100*((([5]Constants!$B$25*EXP(([5]Constants!$B$24*J352)/(J352+[5]Constants!$B$23)))-0.8*(H352-J352))/([5]Constants!$B$25*EXP(([5]Constants!$B$24*H352)/(H352+[5]Constants!$B$23))))</f>
        <v>83.374518931090392</v>
      </c>
      <c r="G352" s="311">
        <f>([5]Constants!$B$23*LN((([5]Constants!$B$25*EXP(([5]Constants!$B$24*J352)/(J352+[5]Constants!$B$23)))-0.8*(H352-J352))/[5]Constants!$B$25))/([5]Constants!$B$24-LN((([5]Constants!$B$25*EXP(([5]Constants!$B$24*J352)/(J352+[5]Constants!$B$23)))-0.8*(H352-J352))/[5]Constants!$B$25))</f>
        <v>3.5926323339819919</v>
      </c>
      <c r="H352" s="349">
        <v>6.2</v>
      </c>
      <c r="I352" s="348">
        <v>6</v>
      </c>
      <c r="J352" s="348">
        <v>5.0999999999999996</v>
      </c>
      <c r="K352" s="313">
        <v>10.1</v>
      </c>
      <c r="L352" s="313" t="s">
        <v>103</v>
      </c>
      <c r="M352" s="43">
        <f t="shared" si="14"/>
        <v>7.15</v>
      </c>
      <c r="N352" s="348">
        <v>4.2</v>
      </c>
      <c r="O352" s="309">
        <v>-0.9</v>
      </c>
      <c r="P352" s="309">
        <v>0.8</v>
      </c>
      <c r="Q352" s="313" t="s">
        <v>103</v>
      </c>
      <c r="R352" s="348">
        <v>6.8</v>
      </c>
      <c r="S352" s="348">
        <v>8.5</v>
      </c>
      <c r="T352" s="348" t="s">
        <v>91</v>
      </c>
      <c r="U352" s="350">
        <v>1</v>
      </c>
      <c r="V352" s="351"/>
      <c r="W352" s="348">
        <v>0</v>
      </c>
      <c r="X352" s="350">
        <v>8</v>
      </c>
      <c r="Y352" s="350">
        <v>8</v>
      </c>
      <c r="Z352" s="352" t="s">
        <v>82</v>
      </c>
      <c r="AA352" s="353">
        <v>6</v>
      </c>
      <c r="AB352" s="322">
        <f>AA352-(AA352*[5]Constants!$B$30)</f>
        <v>4.2</v>
      </c>
    </row>
    <row r="353" spans="1:28" ht="14.5">
      <c r="A353" s="394">
        <f t="shared" si="13"/>
        <v>45276</v>
      </c>
      <c r="B353" s="349">
        <v>72.599999999999994</v>
      </c>
      <c r="C353" s="332">
        <v>30.564</v>
      </c>
      <c r="D353" s="308">
        <f>C353*[5]Constants!$B$19</f>
        <v>1035.0192959999999</v>
      </c>
      <c r="E353" s="308" t="s">
        <v>103</v>
      </c>
      <c r="F353" s="310">
        <f>100*((([5]Constants!$B$25*EXP(([5]Constants!$B$24*J353)/(J353+[5]Constants!$B$23)))-0.8*(H353-J353))/([5]Constants!$B$25*EXP(([5]Constants!$B$24*H353)/(H353+[5]Constants!$B$23))))</f>
        <v>92.199850349493829</v>
      </c>
      <c r="G353" s="311">
        <f>([5]Constants!$B$23*LN((([5]Constants!$B$25*EXP(([5]Constants!$B$24*J353)/(J353+[5]Constants!$B$23)))-0.8*(H353-J353))/[5]Constants!$B$25))/([5]Constants!$B$24-LN((([5]Constants!$B$25*EXP(([5]Constants!$B$24*J353)/(J353+[5]Constants!$B$23)))-0.8*(H353-J353))/[5]Constants!$B$25))</f>
        <v>8.9909361631585316</v>
      </c>
      <c r="H353" s="338">
        <v>10.199999999999999</v>
      </c>
      <c r="I353" s="314">
        <v>10.1</v>
      </c>
      <c r="J353" s="314">
        <v>9.6</v>
      </c>
      <c r="K353" s="348">
        <v>11.3</v>
      </c>
      <c r="L353" s="313" t="s">
        <v>103</v>
      </c>
      <c r="M353" s="43">
        <f t="shared" si="14"/>
        <v>8.6000000000000014</v>
      </c>
      <c r="N353" s="314">
        <v>5.9</v>
      </c>
      <c r="O353" s="314">
        <v>2.6</v>
      </c>
      <c r="P353" s="314">
        <v>3.1</v>
      </c>
      <c r="Q353" s="313" t="s">
        <v>103</v>
      </c>
      <c r="R353" s="314">
        <v>6.9</v>
      </c>
      <c r="S353" s="314">
        <v>8.6</v>
      </c>
      <c r="T353" s="348">
        <v>0</v>
      </c>
      <c r="U353" s="339">
        <v>1</v>
      </c>
      <c r="V353" s="319"/>
      <c r="W353" s="348">
        <v>0</v>
      </c>
      <c r="X353" s="339">
        <v>7</v>
      </c>
      <c r="Y353" s="339">
        <v>8</v>
      </c>
      <c r="Z353" s="335" t="s">
        <v>82</v>
      </c>
      <c r="AA353" s="314">
        <v>0</v>
      </c>
      <c r="AB353" s="322">
        <f>AA353-(AA353*[5]Constants!$B$30)</f>
        <v>0</v>
      </c>
    </row>
    <row r="354" spans="1:28" ht="14.5">
      <c r="A354" s="394">
        <f t="shared" si="13"/>
        <v>45277</v>
      </c>
      <c r="B354" s="349">
        <v>72.3</v>
      </c>
      <c r="C354" s="354">
        <v>30.405999999999999</v>
      </c>
      <c r="D354" s="308">
        <f>C354*[5]Constants!$B$19</f>
        <v>1029.668784</v>
      </c>
      <c r="E354" s="309" t="s">
        <v>103</v>
      </c>
      <c r="F354" s="310">
        <f>100*((([5]Constants!$B$25*EXP(([5]Constants!$B$24*J354)/(J354+[5]Constants!$B$23)))-0.8*(H354-J354))/([5]Constants!$B$25*EXP(([5]Constants!$B$24*H354)/(H354+[5]Constants!$B$23))))</f>
        <v>77.500534971968875</v>
      </c>
      <c r="G354" s="311">
        <f>([5]Constants!$B$23*LN((([5]Constants!$B$25*EXP(([5]Constants!$B$24*J354)/(J354+[5]Constants!$B$23)))-0.8*(H354-J354))/[5]Constants!$B$25))/([5]Constants!$B$24-LN((([5]Constants!$B$25*EXP(([5]Constants!$B$24*J354)/(J354+[5]Constants!$B$23)))-0.8*(H354-J354))/[5]Constants!$B$25))</f>
        <v>5.570008357423732</v>
      </c>
      <c r="H354" s="349">
        <v>9.3000000000000007</v>
      </c>
      <c r="I354" s="348">
        <v>9.4</v>
      </c>
      <c r="J354" s="353">
        <v>7.6</v>
      </c>
      <c r="K354" s="314">
        <v>10.8</v>
      </c>
      <c r="L354" s="313" t="s">
        <v>103</v>
      </c>
      <c r="M354" s="43">
        <f t="shared" si="14"/>
        <v>9.8000000000000007</v>
      </c>
      <c r="N354" s="349">
        <v>8.8000000000000007</v>
      </c>
      <c r="O354" s="348">
        <v>5.9</v>
      </c>
      <c r="P354" s="348">
        <v>6.9</v>
      </c>
      <c r="Q354" s="313" t="s">
        <v>103</v>
      </c>
      <c r="R354" s="353">
        <v>7.8</v>
      </c>
      <c r="S354" s="314">
        <v>8.5</v>
      </c>
      <c r="T354" s="314">
        <v>0</v>
      </c>
      <c r="U354" s="355">
        <v>1</v>
      </c>
      <c r="V354" s="319"/>
      <c r="W354" s="314">
        <v>0</v>
      </c>
      <c r="X354" s="356">
        <v>8</v>
      </c>
      <c r="Y354" s="350">
        <v>6</v>
      </c>
      <c r="Z354" s="352" t="s">
        <v>82</v>
      </c>
      <c r="AA354" s="353">
        <v>14</v>
      </c>
      <c r="AB354" s="322">
        <f>AA354-(AA354*[5]Constants!$B$30)</f>
        <v>9.8000000000000007</v>
      </c>
    </row>
    <row r="355" spans="1:28" ht="14.5">
      <c r="A355" s="394">
        <f t="shared" si="13"/>
        <v>45278</v>
      </c>
      <c r="B355" s="338">
        <v>72.400000000000006</v>
      </c>
      <c r="C355" s="332">
        <v>30.265999999999998</v>
      </c>
      <c r="D355" s="308">
        <f>C355*[5]Constants!$B$19</f>
        <v>1024.9278239999999</v>
      </c>
      <c r="E355" s="308" t="s">
        <v>103</v>
      </c>
      <c r="F355" s="310">
        <f>100*((([5]Constants!$B$25*EXP(([5]Constants!$B$24*J355)/(J355+[5]Constants!$B$23)))-0.8*(H355-J355))/([5]Constants!$B$25*EXP(([5]Constants!$B$24*H355)/(H355+[5]Constants!$B$23))))</f>
        <v>79.579647283311488</v>
      </c>
      <c r="G355" s="311">
        <f>([5]Constants!$B$23*LN((([5]Constants!$B$25*EXP(([5]Constants!$B$24*J355)/(J355+[5]Constants!$B$23)))-0.8*(H355-J355))/[5]Constants!$B$25))/([5]Constants!$B$24-LN((([5]Constants!$B$25*EXP(([5]Constants!$B$24*J355)/(J355+[5]Constants!$B$23)))-0.8*(H355-J355))/[5]Constants!$B$25))</f>
        <v>6.9259309890147396</v>
      </c>
      <c r="H355" s="338">
        <v>10.3</v>
      </c>
      <c r="I355" s="314">
        <v>10.4</v>
      </c>
      <c r="J355" s="314">
        <v>8.6999999999999993</v>
      </c>
      <c r="K355" s="347">
        <v>12.7</v>
      </c>
      <c r="L355" s="313" t="s">
        <v>103</v>
      </c>
      <c r="M355" s="43">
        <f>AVERAGE(K355,N355)</f>
        <v>10.899999999999999</v>
      </c>
      <c r="N355" s="314">
        <v>9.1</v>
      </c>
      <c r="O355" s="314">
        <v>6.9</v>
      </c>
      <c r="P355" s="314">
        <v>7.5</v>
      </c>
      <c r="Q355" s="313" t="s">
        <v>103</v>
      </c>
      <c r="R355" s="314">
        <v>8</v>
      </c>
      <c r="S355" s="314">
        <v>8.6</v>
      </c>
      <c r="T355" s="358">
        <v>8</v>
      </c>
      <c r="U355" s="339">
        <v>0</v>
      </c>
      <c r="V355" s="357"/>
      <c r="W355" s="347">
        <v>0</v>
      </c>
      <c r="X355" s="339">
        <v>8</v>
      </c>
      <c r="Y355" s="339">
        <v>8</v>
      </c>
      <c r="Z355" s="335" t="s">
        <v>82</v>
      </c>
      <c r="AA355" s="336">
        <v>12</v>
      </c>
      <c r="AB355" s="322">
        <f>AA355-(AA355*[5]Constants!$B$30)</f>
        <v>8.4</v>
      </c>
    </row>
    <row r="356" spans="1:28" ht="14.5">
      <c r="A356" s="394">
        <f t="shared" si="13"/>
        <v>45279</v>
      </c>
      <c r="B356" s="349">
        <v>73</v>
      </c>
      <c r="C356" s="354">
        <v>29.95</v>
      </c>
      <c r="D356" s="308">
        <f>C356*[5]Constants!$B$19</f>
        <v>1014.2267999999999</v>
      </c>
      <c r="E356" s="309" t="s">
        <v>103</v>
      </c>
      <c r="F356" s="310">
        <f>100*((([5]Constants!$B$25*EXP(([5]Constants!$B$24*J356)/(J356+[5]Constants!$B$23)))-0.8*(H356-J356))/([5]Constants!$B$25*EXP(([5]Constants!$B$24*H356)/(H356+[5]Constants!$B$23))))</f>
        <v>88.88909545027056</v>
      </c>
      <c r="G356" s="311">
        <f>([5]Constants!$B$23*LN((([5]Constants!$B$25*EXP(([5]Constants!$B$24*J356)/(J356+[5]Constants!$B$23)))-0.8*(H356-J356))/[5]Constants!$B$25))/([5]Constants!$B$24-LN((([5]Constants!$B$25*EXP(([5]Constants!$B$24*J356)/(J356+[5]Constants!$B$23)))-0.8*(H356-J356))/[5]Constants!$B$25))</f>
        <v>9.7323429352770923</v>
      </c>
      <c r="H356" s="314">
        <v>11.5</v>
      </c>
      <c r="I356" s="314">
        <v>10.8</v>
      </c>
      <c r="J356" s="314">
        <v>10.6</v>
      </c>
      <c r="K356" s="308">
        <v>10.9</v>
      </c>
      <c r="L356" s="313" t="s">
        <v>103</v>
      </c>
      <c r="M356" s="43">
        <f t="shared" si="14"/>
        <v>10.65</v>
      </c>
      <c r="N356" s="314">
        <v>10.4</v>
      </c>
      <c r="O356" s="314">
        <v>8.9</v>
      </c>
      <c r="P356" s="314">
        <v>9.1</v>
      </c>
      <c r="Q356" s="313" t="s">
        <v>103</v>
      </c>
      <c r="R356" s="314">
        <v>8.6999999999999993</v>
      </c>
      <c r="S356" s="314">
        <v>8.6999999999999993</v>
      </c>
      <c r="T356" s="314">
        <v>5.2</v>
      </c>
      <c r="U356" s="339">
        <v>1</v>
      </c>
      <c r="V356" s="319"/>
      <c r="W356" s="314">
        <v>0</v>
      </c>
      <c r="X356" s="339">
        <v>7</v>
      </c>
      <c r="Y356" s="339">
        <v>8</v>
      </c>
      <c r="Z356" s="335" t="s">
        <v>82</v>
      </c>
      <c r="AA356" s="314">
        <v>5</v>
      </c>
      <c r="AB356" s="322">
        <f>AA356-(AA356*[5]Constants!$B$30)</f>
        <v>3.5</v>
      </c>
    </row>
    <row r="357" spans="1:28" ht="14.5">
      <c r="A357" s="394">
        <f t="shared" si="13"/>
        <v>45280</v>
      </c>
      <c r="B357" s="392">
        <v>72</v>
      </c>
      <c r="C357" s="359">
        <v>29.957999999999998</v>
      </c>
      <c r="D357" s="308">
        <f>C357*[5]Constants!$B$19</f>
        <v>1014.4977119999999</v>
      </c>
      <c r="E357" s="308" t="s">
        <v>103</v>
      </c>
      <c r="F357" s="310">
        <f>100*((([5]Constants!$B$25*EXP(([5]Constants!$B$24*J357)/(J357+[5]Constants!$B$23)))-0.8*(H357-J357))/([5]Constants!$B$25*EXP(([5]Constants!$B$24*H357)/(H357+[5]Constants!$B$23))))</f>
        <v>74.534016770506</v>
      </c>
      <c r="G357" s="311">
        <f>([5]Constants!$B$23*LN((([5]Constants!$B$25*EXP(([5]Constants!$B$24*J357)/(J357+[5]Constants!$B$23)))-0.8*(H357-J357))/[5]Constants!$B$25))/([5]Constants!$B$24-LN((([5]Constants!$B$25*EXP(([5]Constants!$B$24*J357)/(J357+[5]Constants!$B$23)))-0.8*(H357-J357))/[5]Constants!$B$25))</f>
        <v>4.6220054718770109</v>
      </c>
      <c r="H357" s="333">
        <v>8.9</v>
      </c>
      <c r="I357" s="334">
        <v>7.9</v>
      </c>
      <c r="J357" s="334">
        <v>7</v>
      </c>
      <c r="K357" s="314">
        <v>12.7</v>
      </c>
      <c r="L357" s="313" t="s">
        <v>103</v>
      </c>
      <c r="M357" s="43">
        <f t="shared" si="14"/>
        <v>8.5</v>
      </c>
      <c r="N357" s="334">
        <v>4.3</v>
      </c>
      <c r="O357" s="334">
        <v>2.6</v>
      </c>
      <c r="P357" s="308">
        <v>1.9</v>
      </c>
      <c r="Q357" s="313" t="s">
        <v>103</v>
      </c>
      <c r="R357" s="334">
        <v>8</v>
      </c>
      <c r="S357" s="308">
        <v>8.9</v>
      </c>
      <c r="T357" s="315">
        <v>0.1</v>
      </c>
      <c r="U357" s="342">
        <v>1</v>
      </c>
      <c r="V357" s="344"/>
      <c r="W357" s="314">
        <v>0</v>
      </c>
      <c r="X357" s="334">
        <v>8</v>
      </c>
      <c r="Y357" s="334">
        <v>4</v>
      </c>
      <c r="Z357" s="360" t="s">
        <v>89</v>
      </c>
      <c r="AA357" s="308">
        <v>14</v>
      </c>
      <c r="AB357" s="322">
        <f>AA357-(AA357*[5]Constants!$B$30)</f>
        <v>9.8000000000000007</v>
      </c>
    </row>
    <row r="358" spans="1:28" ht="14.5">
      <c r="A358" s="394">
        <f t="shared" si="13"/>
        <v>45281</v>
      </c>
      <c r="B358" s="362">
        <v>73</v>
      </c>
      <c r="C358" s="361">
        <v>29.552</v>
      </c>
      <c r="D358" s="308">
        <f>C358*[5]Constants!$B$19</f>
        <v>1000.7489279999999</v>
      </c>
      <c r="E358" s="309" t="s">
        <v>103</v>
      </c>
      <c r="F358" s="310">
        <f>100*((([5]Constants!$B$25*EXP(([5]Constants!$B$24*J358)/(J358+[5]Constants!$B$23)))-0.8*(H358-J358))/([5]Constants!$B$25*EXP(([5]Constants!$B$24*H358)/(H358+[5]Constants!$B$23))))</f>
        <v>63.729159285264949</v>
      </c>
      <c r="G358" s="311">
        <f>([5]Constants!$B$23*LN((([5]Constants!$B$25*EXP(([5]Constants!$B$24*J358)/(J358+[5]Constants!$B$23)))-0.8*(H358-J358))/[5]Constants!$B$25))/([5]Constants!$B$24-LN((([5]Constants!$B$25*EXP(([5]Constants!$B$24*J358)/(J358+[5]Constants!$B$23)))-0.8*(H358-J358))/[5]Constants!$B$25))</f>
        <v>7.0497478155237809</v>
      </c>
      <c r="H358" s="362">
        <v>13.8</v>
      </c>
      <c r="I358" s="315">
        <v>12.7</v>
      </c>
      <c r="J358" s="315">
        <v>10.5</v>
      </c>
      <c r="K358" s="314">
        <v>13.8</v>
      </c>
      <c r="L358" s="313" t="s">
        <v>103</v>
      </c>
      <c r="M358" s="43">
        <f t="shared" si="14"/>
        <v>10.850000000000001</v>
      </c>
      <c r="N358" s="315">
        <v>7.9</v>
      </c>
      <c r="O358" s="315">
        <v>5.2</v>
      </c>
      <c r="P358" s="315">
        <v>5.5</v>
      </c>
      <c r="Q358" s="313" t="s">
        <v>103</v>
      </c>
      <c r="R358" s="315">
        <v>8</v>
      </c>
      <c r="S358" s="315">
        <v>9</v>
      </c>
      <c r="T358" s="314">
        <v>0.8</v>
      </c>
      <c r="U358" s="363">
        <v>1</v>
      </c>
      <c r="V358" s="364"/>
      <c r="W358" s="365">
        <v>0.8</v>
      </c>
      <c r="X358" s="366">
        <v>8</v>
      </c>
      <c r="Y358" s="366">
        <v>8</v>
      </c>
      <c r="Z358" s="367" t="s">
        <v>82</v>
      </c>
      <c r="AA358" s="368">
        <v>25</v>
      </c>
      <c r="AB358" s="322">
        <f>AA358-(AA358*[5]Constants!$B$30)</f>
        <v>17.5</v>
      </c>
    </row>
    <row r="359" spans="1:28" ht="14.5">
      <c r="A359" s="394">
        <f t="shared" si="13"/>
        <v>45282</v>
      </c>
      <c r="B359" s="338">
        <v>73</v>
      </c>
      <c r="C359" s="332">
        <v>29.713999999999999</v>
      </c>
      <c r="D359" s="308">
        <f>C359*[5]Constants!$B$19</f>
        <v>1006.2348959999998</v>
      </c>
      <c r="E359" s="308" t="s">
        <v>103</v>
      </c>
      <c r="F359" s="310">
        <f>100*((([5]Constants!$B$25*EXP(([5]Constants!$B$24*J359)/(J359+[5]Constants!$B$23)))-0.8*(H359-J359))/([5]Constants!$B$25*EXP(([5]Constants!$B$24*H359)/(H359+[5]Constants!$B$23))))</f>
        <v>74.071455448428154</v>
      </c>
      <c r="G359" s="311">
        <f>([5]Constants!$B$23*LN((([5]Constants!$B$25*EXP(([5]Constants!$B$24*J359)/(J359+[5]Constants!$B$23)))-0.8*(H359-J359))/[5]Constants!$B$25))/([5]Constants!$B$24-LN((([5]Constants!$B$25*EXP(([5]Constants!$B$24*J359)/(J359+[5]Constants!$B$23)))-0.8*(H359-J359))/[5]Constants!$B$25))</f>
        <v>6.5606295212599894</v>
      </c>
      <c r="H359" s="338">
        <v>11</v>
      </c>
      <c r="I359" s="314">
        <v>10.9</v>
      </c>
      <c r="J359" s="314">
        <v>8.9</v>
      </c>
      <c r="K359" s="369">
        <v>12.4</v>
      </c>
      <c r="L359" s="313" t="s">
        <v>103</v>
      </c>
      <c r="M359" s="43">
        <f t="shared" si="14"/>
        <v>10.199999999999999</v>
      </c>
      <c r="N359" s="314">
        <v>8</v>
      </c>
      <c r="O359" s="314">
        <v>6.5</v>
      </c>
      <c r="P359" s="314">
        <v>6.9</v>
      </c>
      <c r="Q359" s="313" t="s">
        <v>103</v>
      </c>
      <c r="R359" s="314">
        <v>8.3000000000000007</v>
      </c>
      <c r="S359" s="314">
        <v>9</v>
      </c>
      <c r="T359" s="308" t="s">
        <v>91</v>
      </c>
      <c r="U359" s="342">
        <v>1</v>
      </c>
      <c r="V359" s="339"/>
      <c r="W359" s="308">
        <v>4.8</v>
      </c>
      <c r="X359" s="342">
        <v>8</v>
      </c>
      <c r="Y359" s="342">
        <v>7</v>
      </c>
      <c r="Z359" s="335" t="s">
        <v>87</v>
      </c>
      <c r="AA359" s="258">
        <v>18</v>
      </c>
      <c r="AB359" s="322">
        <f>AA359-(AA359*[5]Constants!$B$30)</f>
        <v>12.600000000000001</v>
      </c>
    </row>
    <row r="360" spans="1:28" ht="14.5">
      <c r="A360" s="394">
        <f t="shared" si="13"/>
        <v>45283</v>
      </c>
      <c r="B360" s="338">
        <v>73.2</v>
      </c>
      <c r="C360" s="332">
        <v>29.722000000000001</v>
      </c>
      <c r="D360" s="308">
        <f>C360*[5]Constants!$B$19</f>
        <v>1006.505808</v>
      </c>
      <c r="E360" s="309" t="s">
        <v>103</v>
      </c>
      <c r="F360" s="310">
        <f>100*((([5]Constants!$B$25*EXP(([5]Constants!$B$24*J360)/(J360+[5]Constants!$B$23)))-0.8*(H360-J360))/([5]Constants!$B$25*EXP(([5]Constants!$B$24*H360)/(H360+[5]Constants!$B$23))))</f>
        <v>76.660062659731921</v>
      </c>
      <c r="G360" s="311">
        <f>([5]Constants!$B$23*LN((([5]Constants!$B$25*EXP(([5]Constants!$B$24*J360)/(J360+[5]Constants!$B$23)))-0.8*(H360-J360))/[5]Constants!$B$25))/([5]Constants!$B$24-LN((([5]Constants!$B$25*EXP(([5]Constants!$B$24*J360)/(J360+[5]Constants!$B$23)))-0.8*(H360-J360))/[5]Constants!$B$25))</f>
        <v>5.8976206213373406</v>
      </c>
      <c r="H360" s="338">
        <v>9.8000000000000007</v>
      </c>
      <c r="I360" s="314">
        <v>9.9</v>
      </c>
      <c r="J360" s="314">
        <v>8</v>
      </c>
      <c r="K360" s="314">
        <v>13.1</v>
      </c>
      <c r="L360" s="313" t="s">
        <v>103</v>
      </c>
      <c r="M360" s="43">
        <f t="shared" si="14"/>
        <v>10.6</v>
      </c>
      <c r="N360" s="314">
        <v>8.1</v>
      </c>
      <c r="O360" s="314">
        <v>6.1</v>
      </c>
      <c r="P360" s="314">
        <v>5.4</v>
      </c>
      <c r="Q360" s="313" t="s">
        <v>103</v>
      </c>
      <c r="R360" s="314">
        <v>8.4</v>
      </c>
      <c r="S360" s="314">
        <v>9</v>
      </c>
      <c r="T360" s="308">
        <v>0.18</v>
      </c>
      <c r="U360" s="342">
        <v>1</v>
      </c>
      <c r="V360" s="339"/>
      <c r="W360" s="314">
        <v>4.5999999999999996</v>
      </c>
      <c r="X360" s="339">
        <v>8</v>
      </c>
      <c r="Y360" s="339">
        <v>4</v>
      </c>
      <c r="Z360" s="335" t="s">
        <v>82</v>
      </c>
      <c r="AA360" s="258">
        <v>12</v>
      </c>
      <c r="AB360" s="322">
        <f>AA360-(AA360*[5]Constants!$B$30)</f>
        <v>8.4</v>
      </c>
    </row>
    <row r="361" spans="1:28" ht="14.5">
      <c r="A361" s="394">
        <f t="shared" si="13"/>
        <v>45284</v>
      </c>
      <c r="B361" s="338">
        <v>73.2</v>
      </c>
      <c r="C361" s="332">
        <v>29.512</v>
      </c>
      <c r="D361" s="308">
        <f>C361*[5]Constants!$B$19</f>
        <v>999.39436799999999</v>
      </c>
      <c r="E361" s="308" t="s">
        <v>103</v>
      </c>
      <c r="F361" s="310">
        <f>100*((([5]Constants!$B$25*EXP(([5]Constants!$B$24*J361)/(J361+[5]Constants!$B$23)))-0.8*(H361-J361))/([5]Constants!$B$25*EXP(([5]Constants!$B$24*H361)/(H361+[5]Constants!$B$23))))</f>
        <v>88.260350409608193</v>
      </c>
      <c r="G361" s="311">
        <f>([5]Constants!$B$23*LN((([5]Constants!$B$25*EXP(([5]Constants!$B$24*J361)/(J361+[5]Constants!$B$23)))-0.8*(H361-J361))/[5]Constants!$B$25))/([5]Constants!$B$24-LN((([5]Constants!$B$25*EXP(([5]Constants!$B$24*J361)/(J361+[5]Constants!$B$23)))-0.8*(H361-J361))/[5]Constants!$B$25))</f>
        <v>11.006040232552662</v>
      </c>
      <c r="H361" s="338">
        <v>12.9</v>
      </c>
      <c r="I361" s="314">
        <v>13</v>
      </c>
      <c r="J361" s="314">
        <v>11.9</v>
      </c>
      <c r="K361" s="314">
        <v>13.6</v>
      </c>
      <c r="L361" s="313" t="s">
        <v>103</v>
      </c>
      <c r="M361" s="43">
        <f t="shared" si="14"/>
        <v>11.6</v>
      </c>
      <c r="N361" s="314">
        <v>9.6</v>
      </c>
      <c r="O361" s="314">
        <v>6.6</v>
      </c>
      <c r="P361" s="314">
        <v>5.5</v>
      </c>
      <c r="Q361" s="313" t="s">
        <v>103</v>
      </c>
      <c r="R361" s="314">
        <v>8.5</v>
      </c>
      <c r="S361" s="314">
        <v>9</v>
      </c>
      <c r="T361" s="314" t="s">
        <v>91</v>
      </c>
      <c r="U361" s="342">
        <v>1</v>
      </c>
      <c r="V361" s="339"/>
      <c r="W361" s="314">
        <v>0.2</v>
      </c>
      <c r="X361" s="339">
        <v>7</v>
      </c>
      <c r="Y361" s="339">
        <v>8</v>
      </c>
      <c r="Z361" s="335" t="s">
        <v>82</v>
      </c>
      <c r="AA361" s="258">
        <v>28</v>
      </c>
      <c r="AB361" s="322">
        <f>AA361-(AA361*[5]Constants!$B$30)</f>
        <v>19.600000000000001</v>
      </c>
    </row>
    <row r="362" spans="1:28" ht="14.5">
      <c r="A362" s="394">
        <f t="shared" si="13"/>
        <v>45285</v>
      </c>
      <c r="B362" s="338">
        <v>73.2</v>
      </c>
      <c r="C362" s="332">
        <v>29.59</v>
      </c>
      <c r="D362" s="308">
        <f>C362*[5]Constants!$B$19</f>
        <v>1002.0357599999999</v>
      </c>
      <c r="E362" s="309" t="s">
        <v>103</v>
      </c>
      <c r="F362" s="310">
        <f>100*((([5]Constants!$B$25*EXP(([5]Constants!$B$24*J362)/(J362+[5]Constants!$B$23)))-0.8*(H362-J362))/([5]Constants!$B$25*EXP(([5]Constants!$B$24*H362)/(H362+[5]Constants!$B$23))))</f>
        <v>83.874958025319827</v>
      </c>
      <c r="G362" s="311">
        <f>([5]Constants!$B$23*LN((([5]Constants!$B$25*EXP(([5]Constants!$B$24*J362)/(J362+[5]Constants!$B$23)))-0.8*(H362-J362))/[5]Constants!$B$25))/([5]Constants!$B$24-LN((([5]Constants!$B$25*EXP(([5]Constants!$B$24*J362)/(J362+[5]Constants!$B$23)))-0.8*(H362-J362))/[5]Constants!$B$25))</f>
        <v>8.576081278132289</v>
      </c>
      <c r="H362" s="338">
        <v>11.2</v>
      </c>
      <c r="I362" s="314">
        <v>11.2</v>
      </c>
      <c r="J362" s="314">
        <v>9.9</v>
      </c>
      <c r="K362" s="314">
        <v>12.2</v>
      </c>
      <c r="L362" s="313" t="s">
        <v>103</v>
      </c>
      <c r="M362" s="43">
        <f t="shared" si="14"/>
        <v>11.5</v>
      </c>
      <c r="N362" s="314">
        <v>10.8</v>
      </c>
      <c r="O362" s="314">
        <v>8.6</v>
      </c>
      <c r="P362" s="314">
        <v>8.1</v>
      </c>
      <c r="Q362" s="313" t="s">
        <v>103</v>
      </c>
      <c r="R362" s="314">
        <v>9.4</v>
      </c>
      <c r="S362" s="314">
        <v>9.1</v>
      </c>
      <c r="T362" s="314">
        <v>2.4</v>
      </c>
      <c r="U362" s="342">
        <v>1</v>
      </c>
      <c r="V362" s="339"/>
      <c r="W362" s="308">
        <v>0</v>
      </c>
      <c r="X362" s="339">
        <v>6</v>
      </c>
      <c r="Y362" s="339">
        <v>7</v>
      </c>
      <c r="Z362" s="335" t="s">
        <v>82</v>
      </c>
      <c r="AA362" s="258">
        <v>18</v>
      </c>
      <c r="AB362" s="322">
        <f>AA362-(AA362*[5]Constants!$B$30)</f>
        <v>12.600000000000001</v>
      </c>
    </row>
    <row r="363" spans="1:28" ht="14.5">
      <c r="A363" s="394">
        <f t="shared" si="13"/>
        <v>45286</v>
      </c>
      <c r="B363" s="338">
        <v>73.3</v>
      </c>
      <c r="C363" s="332">
        <v>29.834</v>
      </c>
      <c r="D363" s="308">
        <f>C363*[5]Constants!$B$19</f>
        <v>1010.2985759999999</v>
      </c>
      <c r="E363" s="308" t="s">
        <v>103</v>
      </c>
      <c r="F363" s="310">
        <f>100*((([5]Constants!$B$25*EXP(([5]Constants!$B$24*J363)/(J363+[5]Constants!$B$23)))-0.8*(H363-J363))/([5]Constants!$B$25*EXP(([5]Constants!$B$24*H363)/(H363+[5]Constants!$B$23))))</f>
        <v>95.197860589244641</v>
      </c>
      <c r="G363" s="311">
        <f>([5]Constants!$B$23*LN((([5]Constants!$B$25*EXP(([5]Constants!$B$24*J363)/(J363+[5]Constants!$B$23)))-0.8*(H363-J363))/[5]Constants!$B$25))/([5]Constants!$B$24-LN((([5]Constants!$B$25*EXP(([5]Constants!$B$24*J363)/(J363+[5]Constants!$B$23)))-0.8*(H363-J363))/[5]Constants!$B$25))</f>
        <v>4.3951268890133361</v>
      </c>
      <c r="H363" s="338">
        <v>5.0999999999999996</v>
      </c>
      <c r="I363" s="314">
        <v>5.4</v>
      </c>
      <c r="J363" s="314">
        <v>4.8</v>
      </c>
      <c r="K363" s="314">
        <v>11.4</v>
      </c>
      <c r="L363" s="313" t="s">
        <v>103</v>
      </c>
      <c r="M363" s="43">
        <f t="shared" si="14"/>
        <v>8.1999999999999993</v>
      </c>
      <c r="N363" s="314">
        <v>5</v>
      </c>
      <c r="O363" s="314">
        <v>0.4</v>
      </c>
      <c r="P363" s="314">
        <v>1.6</v>
      </c>
      <c r="Q363" s="313" t="s">
        <v>103</v>
      </c>
      <c r="R363" s="314">
        <v>9</v>
      </c>
      <c r="S363" s="314">
        <v>9.1999999999999993</v>
      </c>
      <c r="T363" s="314">
        <v>4.4000000000000004</v>
      </c>
      <c r="U363" s="342">
        <v>1</v>
      </c>
      <c r="V363" s="339"/>
      <c r="W363" s="308">
        <v>0.6</v>
      </c>
      <c r="X363" s="339">
        <v>7</v>
      </c>
      <c r="Y363" s="339">
        <v>4</v>
      </c>
      <c r="Z363" s="335" t="s">
        <v>82</v>
      </c>
      <c r="AA363" s="258">
        <v>10</v>
      </c>
      <c r="AB363" s="322">
        <f>AA363-(AA363*[5]Constants!$B$30)</f>
        <v>7</v>
      </c>
    </row>
    <row r="364" spans="1:28" ht="14.5">
      <c r="A364" s="394">
        <f t="shared" si="13"/>
        <v>45287</v>
      </c>
      <c r="B364" s="338">
        <v>73.3</v>
      </c>
      <c r="C364" s="332">
        <v>29.524000000000001</v>
      </c>
      <c r="D364" s="308">
        <f>C364*[5]Constants!$B$19</f>
        <v>999.80073599999992</v>
      </c>
      <c r="E364" s="309" t="s">
        <v>103</v>
      </c>
      <c r="F364" s="310">
        <f>100*((([5]Constants!$B$25*EXP(([5]Constants!$B$24*J364)/(J364+[5]Constants!$B$23)))-0.8*(H364-J364))/([5]Constants!$B$25*EXP(([5]Constants!$B$24*H364)/(H364+[5]Constants!$B$23))))</f>
        <v>90.037789366437991</v>
      </c>
      <c r="G364" s="311">
        <f>([5]Constants!$B$23*LN((([5]Constants!$B$25*EXP(([5]Constants!$B$24*J364)/(J364+[5]Constants!$B$23)))-0.8*(H364-J364))/[5]Constants!$B$25))/([5]Constants!$B$24-LN((([5]Constants!$B$25*EXP(([5]Constants!$B$24*J364)/(J364+[5]Constants!$B$23)))-0.8*(H364-J364))/[5]Constants!$B$25))</f>
        <v>9.726318651450562</v>
      </c>
      <c r="H364" s="338">
        <v>11.3</v>
      </c>
      <c r="I364" s="314">
        <v>11.3</v>
      </c>
      <c r="J364" s="314">
        <v>10.5</v>
      </c>
      <c r="K364" s="314">
        <v>12.1</v>
      </c>
      <c r="L364" s="313" t="s">
        <v>103</v>
      </c>
      <c r="M364" s="43">
        <f t="shared" si="14"/>
        <v>8.5</v>
      </c>
      <c r="N364" s="314">
        <v>4.9000000000000004</v>
      </c>
      <c r="O364" s="314">
        <v>-0.5</v>
      </c>
      <c r="P364" s="314">
        <v>1.4</v>
      </c>
      <c r="Q364" s="313" t="s">
        <v>103</v>
      </c>
      <c r="R364" s="314">
        <v>9.1</v>
      </c>
      <c r="S364" s="314">
        <v>9.4</v>
      </c>
      <c r="T364" s="314">
        <v>4.4000000000000004</v>
      </c>
      <c r="U364" s="342">
        <v>1</v>
      </c>
      <c r="V364" s="339"/>
      <c r="W364" s="308">
        <v>0</v>
      </c>
      <c r="X364" s="339">
        <v>7</v>
      </c>
      <c r="Y364" s="339">
        <v>8</v>
      </c>
      <c r="Z364" s="335" t="s">
        <v>87</v>
      </c>
      <c r="AA364" s="258">
        <v>12</v>
      </c>
      <c r="AB364" s="322">
        <f>AA364-(AA364*[5]Constants!$B$30)</f>
        <v>8.4</v>
      </c>
    </row>
    <row r="365" spans="1:28" ht="14.5">
      <c r="A365" s="394">
        <f t="shared" si="13"/>
        <v>45288</v>
      </c>
      <c r="B365" s="338">
        <v>71.2</v>
      </c>
      <c r="C365" s="332">
        <v>29.472000000000001</v>
      </c>
      <c r="D365" s="308">
        <f>C365*[5]Constants!$B$19</f>
        <v>998.03980799999999</v>
      </c>
      <c r="E365" s="308" t="s">
        <v>103</v>
      </c>
      <c r="F365" s="310">
        <f>100*((([5]Constants!$B$25*EXP(([5]Constants!$B$24*J365)/(J365+[5]Constants!$B$23)))-0.8*(H365-J365))/([5]Constants!$B$25*EXP(([5]Constants!$B$24*H365)/(H365+[5]Constants!$B$23))))</f>
        <v>71.15823252585065</v>
      </c>
      <c r="G365" s="311">
        <f>([5]Constants!$B$23*LN((([5]Constants!$B$25*EXP(([5]Constants!$B$24*J365)/(J365+[5]Constants!$B$23)))-0.8*(H365-J365))/[5]Constants!$B$25))/([5]Constants!$B$24-LN((([5]Constants!$B$25*EXP(([5]Constants!$B$24*J365)/(J365+[5]Constants!$B$23)))-0.8*(H365-J365))/[5]Constants!$B$25))</f>
        <v>5.4983772971045326</v>
      </c>
      <c r="H365" s="338">
        <v>10.5</v>
      </c>
      <c r="I365" s="314">
        <v>10.5</v>
      </c>
      <c r="J365" s="314">
        <v>8.1999999999999993</v>
      </c>
      <c r="K365" s="314">
        <v>12.1</v>
      </c>
      <c r="L365" s="313" t="s">
        <v>103</v>
      </c>
      <c r="M365" s="43">
        <f t="shared" si="14"/>
        <v>10.6</v>
      </c>
      <c r="N365" s="314">
        <v>9.1</v>
      </c>
      <c r="O365" s="314">
        <v>6.1</v>
      </c>
      <c r="P365" s="314">
        <v>6.4</v>
      </c>
      <c r="Q365" s="313" t="s">
        <v>103</v>
      </c>
      <c r="R365" s="314">
        <v>8.5</v>
      </c>
      <c r="S365" s="314">
        <v>9.4</v>
      </c>
      <c r="T365" s="314">
        <v>6.1</v>
      </c>
      <c r="U365" s="342">
        <v>2</v>
      </c>
      <c r="V365" s="339"/>
      <c r="W365" s="308">
        <v>3.2</v>
      </c>
      <c r="X365" s="339">
        <v>8</v>
      </c>
      <c r="Y365" s="339">
        <v>3</v>
      </c>
      <c r="Z365" s="335" t="s">
        <v>82</v>
      </c>
      <c r="AA365" s="258">
        <v>20</v>
      </c>
      <c r="AB365" s="322">
        <f>AA365-(AA365*[5]Constants!$B$30)</f>
        <v>14</v>
      </c>
    </row>
    <row r="366" spans="1:28" ht="14.5">
      <c r="A366" s="394">
        <f t="shared" si="13"/>
        <v>45289</v>
      </c>
      <c r="B366" s="338">
        <v>71.400000000000006</v>
      </c>
      <c r="C366" s="332">
        <v>29.53</v>
      </c>
      <c r="D366" s="308">
        <f>C366*[5]Constants!$B$19</f>
        <v>1000.00392</v>
      </c>
      <c r="E366" s="309" t="s">
        <v>103</v>
      </c>
      <c r="F366" s="310">
        <f>100*((([5]Constants!$B$25*EXP(([5]Constants!$B$24*J366)/(J366+[5]Constants!$B$23)))-0.8*(H366-J366))/([5]Constants!$B$25*EXP(([5]Constants!$B$24*H366)/(H366+[5]Constants!$B$23))))</f>
        <v>82.290178687117162</v>
      </c>
      <c r="G366" s="311">
        <f>([5]Constants!$B$23*LN((([5]Constants!$B$25*EXP(([5]Constants!$B$24*J366)/(J366+[5]Constants!$B$23)))-0.8*(H366-J366))/[5]Constants!$B$25))/([5]Constants!$B$24-LN((([5]Constants!$B$25*EXP(([5]Constants!$B$24*J366)/(J366+[5]Constants!$B$23)))-0.8*(H366-J366))/[5]Constants!$B$25))</f>
        <v>5.8511224740483119</v>
      </c>
      <c r="H366" s="338">
        <v>8.6999999999999993</v>
      </c>
      <c r="I366" s="314">
        <v>8.6</v>
      </c>
      <c r="J366" s="314">
        <v>7.4</v>
      </c>
      <c r="K366" s="314">
        <v>9</v>
      </c>
      <c r="L366" s="313" t="s">
        <v>103</v>
      </c>
      <c r="M366" s="43">
        <f t="shared" si="14"/>
        <v>8.4</v>
      </c>
      <c r="N366" s="314">
        <v>7.8</v>
      </c>
      <c r="O366" s="314">
        <v>4.9000000000000004</v>
      </c>
      <c r="P366" s="314">
        <v>5</v>
      </c>
      <c r="Q366" s="313" t="s">
        <v>103</v>
      </c>
      <c r="R366" s="314">
        <v>8.4</v>
      </c>
      <c r="S366" s="314">
        <v>9.4</v>
      </c>
      <c r="T366" s="314">
        <v>3.1</v>
      </c>
      <c r="U366" s="342">
        <v>1</v>
      </c>
      <c r="V366" s="339"/>
      <c r="W366" s="308">
        <v>1</v>
      </c>
      <c r="X366" s="339">
        <v>8</v>
      </c>
      <c r="Y366" s="339">
        <v>8</v>
      </c>
      <c r="Z366" s="335" t="s">
        <v>82</v>
      </c>
      <c r="AA366" s="258">
        <v>12</v>
      </c>
      <c r="AB366" s="322">
        <f>AA366-(AA366*[5]Constants!$B$30)</f>
        <v>8.4</v>
      </c>
    </row>
    <row r="367" spans="1:28" ht="14.5">
      <c r="A367" s="394">
        <f t="shared" si="13"/>
        <v>45290</v>
      </c>
      <c r="B367" s="338">
        <v>71.5</v>
      </c>
      <c r="C367" s="332">
        <v>29.527999999999999</v>
      </c>
      <c r="D367" s="308">
        <f>C367*[5]Constants!$B$19</f>
        <v>999.93619199999989</v>
      </c>
      <c r="E367" s="308" t="s">
        <v>103</v>
      </c>
      <c r="F367" s="310">
        <f>100*((([5]Constants!$B$25*EXP(([5]Constants!$B$24*J367)/(J367+[5]Constants!$B$23)))-0.8*(H367-J367))/([5]Constants!$B$25*EXP(([5]Constants!$B$24*H367)/(H367+[5]Constants!$B$23))))</f>
        <v>98.575692151167218</v>
      </c>
      <c r="G367" s="311">
        <f>([5]Constants!$B$23*LN((([5]Constants!$B$25*EXP(([5]Constants!$B$24*J367)/(J367+[5]Constants!$B$23)))-0.8*(H367-J367))/[5]Constants!$B$25))/([5]Constants!$B$24-LN((([5]Constants!$B$25*EXP(([5]Constants!$B$24*J367)/(J367+[5]Constants!$B$23)))-0.8*(H367-J367))/[5]Constants!$B$25))</f>
        <v>7.7892868332034011</v>
      </c>
      <c r="H367" s="338">
        <v>8</v>
      </c>
      <c r="I367" s="314">
        <v>8.1</v>
      </c>
      <c r="J367" s="314">
        <v>7.9</v>
      </c>
      <c r="K367" s="314">
        <v>11.6</v>
      </c>
      <c r="L367" s="313" t="s">
        <v>103</v>
      </c>
      <c r="M367" s="43">
        <f t="shared" si="14"/>
        <v>8.1</v>
      </c>
      <c r="N367" s="314">
        <v>4.5999999999999996</v>
      </c>
      <c r="O367" s="314">
        <v>1.7</v>
      </c>
      <c r="P367" s="314">
        <v>2</v>
      </c>
      <c r="Q367" s="313" t="s">
        <v>103</v>
      </c>
      <c r="R367" s="314">
        <v>7.5</v>
      </c>
      <c r="S367" s="314">
        <v>9.3000000000000007</v>
      </c>
      <c r="T367" s="314">
        <v>20.3</v>
      </c>
      <c r="U367" s="342">
        <v>1</v>
      </c>
      <c r="V367" s="339"/>
      <c r="W367" s="308">
        <v>0.6</v>
      </c>
      <c r="X367" s="339">
        <v>7</v>
      </c>
      <c r="Y367" s="339">
        <v>8</v>
      </c>
      <c r="Z367" s="335" t="s">
        <v>87</v>
      </c>
      <c r="AA367" s="258">
        <v>13</v>
      </c>
      <c r="AB367" s="322">
        <f>AA367-(AA367*[5]Constants!$B$30)</f>
        <v>9.1</v>
      </c>
    </row>
    <row r="368" spans="1:28" ht="14.5">
      <c r="A368" s="394">
        <f t="shared" si="13"/>
        <v>45291</v>
      </c>
      <c r="B368" s="338">
        <v>70.099999999999994</v>
      </c>
      <c r="C368" s="332">
        <v>28.943999999999999</v>
      </c>
      <c r="D368" s="308">
        <f>C368*[5]Constants!$B$19</f>
        <v>980.15961599999991</v>
      </c>
      <c r="E368" s="309" t="s">
        <v>103</v>
      </c>
      <c r="F368" s="310">
        <f>100*((([5]Constants!$B$25*EXP(([5]Constants!$B$24*J368)/(J368+[5]Constants!$B$23)))-0.8*(H368-J368))/([5]Constants!$B$25*EXP(([5]Constants!$B$24*H368)/(H368+[5]Constants!$B$23))))</f>
        <v>85.477869954436997</v>
      </c>
      <c r="G368" s="311">
        <f>([5]Constants!$B$23*LN((([5]Constants!$B$25*EXP(([5]Constants!$B$24*J368)/(J368+[5]Constants!$B$23)))-0.8*(H368-J368))/[5]Constants!$B$25))/([5]Constants!$B$24-LN((([5]Constants!$B$25*EXP(([5]Constants!$B$24*J368)/(J368+[5]Constants!$B$23)))-0.8*(H368-J368))/[5]Constants!$B$25))</f>
        <v>4.9286787023594529</v>
      </c>
      <c r="H368" s="338">
        <v>7.2</v>
      </c>
      <c r="I368" s="314">
        <v>7.3</v>
      </c>
      <c r="J368" s="314">
        <v>6.2</v>
      </c>
      <c r="K368" s="314">
        <v>8.9</v>
      </c>
      <c r="L368" s="313" t="s">
        <v>103</v>
      </c>
      <c r="M368" s="43">
        <f t="shared" si="14"/>
        <v>6.95</v>
      </c>
      <c r="N368" s="314">
        <v>5</v>
      </c>
      <c r="O368" s="314">
        <v>3.5</v>
      </c>
      <c r="P368" s="314">
        <v>3.6</v>
      </c>
      <c r="Q368" s="313" t="s">
        <v>103</v>
      </c>
      <c r="R368" s="314">
        <v>8</v>
      </c>
      <c r="S368" s="314">
        <v>9.3000000000000007</v>
      </c>
      <c r="T368" s="314">
        <v>4.5</v>
      </c>
      <c r="U368" s="342">
        <v>2</v>
      </c>
      <c r="V368" s="339"/>
      <c r="W368" s="308">
        <v>0.7</v>
      </c>
      <c r="X368" s="339">
        <v>8</v>
      </c>
      <c r="Y368" s="339">
        <v>4</v>
      </c>
      <c r="Z368" s="335" t="s">
        <v>82</v>
      </c>
      <c r="AA368" s="258">
        <v>10</v>
      </c>
      <c r="AB368" s="322">
        <f>AA368-(AA368*[5]Constants!$B$30)</f>
        <v>7</v>
      </c>
    </row>
    <row r="369" spans="2:28">
      <c r="M369" s="36"/>
    </row>
    <row r="370" spans="2:28">
      <c r="B370" s="22"/>
      <c r="C370" s="22"/>
      <c r="D370" s="22"/>
      <c r="E370" s="22"/>
      <c r="F370" s="22"/>
      <c r="G370" s="22"/>
      <c r="H370" s="22"/>
      <c r="I370" s="22"/>
      <c r="J370" s="22"/>
      <c r="K370" s="22" t="s">
        <v>117</v>
      </c>
      <c r="L370" s="22"/>
      <c r="M370" s="22" t="s">
        <v>112</v>
      </c>
      <c r="N370" s="22" t="s">
        <v>118</v>
      </c>
      <c r="O370" s="22" t="s">
        <v>118</v>
      </c>
      <c r="P370" s="22" t="s">
        <v>118</v>
      </c>
      <c r="Q370" s="22"/>
      <c r="R370" s="22" t="s">
        <v>120</v>
      </c>
      <c r="S370" s="22" t="s">
        <v>120</v>
      </c>
      <c r="T370" s="22" t="s">
        <v>122</v>
      </c>
      <c r="U370" s="22"/>
      <c r="V370" s="22"/>
      <c r="W370" s="22" t="s">
        <v>124</v>
      </c>
      <c r="X370" s="22"/>
      <c r="Y370" s="22"/>
      <c r="Z370" s="22"/>
      <c r="AA370" s="22" t="s">
        <v>126</v>
      </c>
      <c r="AB370" s="22" t="s">
        <v>126</v>
      </c>
    </row>
    <row r="371" spans="2:28">
      <c r="B371" s="22"/>
      <c r="C371" s="22"/>
      <c r="D371" s="22"/>
      <c r="E371" s="22"/>
      <c r="F371" s="22"/>
      <c r="G371" s="22"/>
      <c r="H371" s="22"/>
      <c r="I371" s="22"/>
      <c r="J371" s="22"/>
      <c r="K371" s="395">
        <f>AVERAGE(K4:K368)</f>
        <v>15.78567482241516</v>
      </c>
      <c r="L371" s="22"/>
      <c r="M371" s="22" t="s">
        <v>114</v>
      </c>
      <c r="N371" s="395">
        <f>AVERAGE(N4:N368)</f>
        <v>7.9161643835616475</v>
      </c>
      <c r="O371" s="395">
        <f>AVERAGE(O4:O368)</f>
        <v>5.81178082191781</v>
      </c>
      <c r="P371" s="395">
        <f>AVERAGE(P4:P368)</f>
        <v>7.1473829201101937</v>
      </c>
      <c r="Q371" s="22"/>
      <c r="R371" s="22" t="s">
        <v>80</v>
      </c>
      <c r="S371" s="22" t="s">
        <v>121</v>
      </c>
      <c r="T371" s="397">
        <f>SUM(T4:T368)</f>
        <v>929.5399999999994</v>
      </c>
      <c r="U371" s="22"/>
      <c r="V371" s="22"/>
      <c r="W371" s="397">
        <f>SUM(W4:W368)</f>
        <v>1657.7199999999996</v>
      </c>
      <c r="X371" s="22"/>
      <c r="Y371" s="22"/>
      <c r="Z371" s="22"/>
      <c r="AA371" s="22" t="s">
        <v>127</v>
      </c>
      <c r="AB371" s="22" t="s">
        <v>127</v>
      </c>
    </row>
    <row r="372" spans="2:28">
      <c r="B372" s="22"/>
      <c r="C372" s="22"/>
      <c r="D372" s="22"/>
      <c r="E372" s="22"/>
      <c r="F372" s="22"/>
      <c r="G372" s="22"/>
      <c r="H372" s="22"/>
      <c r="I372" s="22"/>
      <c r="J372" s="22"/>
      <c r="K372" s="22" t="s">
        <v>115</v>
      </c>
      <c r="L372" s="22"/>
      <c r="M372" s="395">
        <f>AVERAGE(M4:M368)</f>
        <v>11.852636757182214</v>
      </c>
      <c r="N372" t="s">
        <v>119</v>
      </c>
      <c r="O372" t="s">
        <v>119</v>
      </c>
      <c r="P372" t="s">
        <v>119</v>
      </c>
      <c r="Q372" s="22"/>
      <c r="R372" s="395">
        <f>AVERAGE(R4:R368)</f>
        <v>12.499178082191778</v>
      </c>
      <c r="S372" s="395">
        <f>AVERAGE(S4:S368)</f>
        <v>12.495054945054944</v>
      </c>
      <c r="T372" s="22" t="s">
        <v>123</v>
      </c>
      <c r="U372" s="22"/>
      <c r="V372" s="22"/>
      <c r="W372" s="22" t="s">
        <v>125</v>
      </c>
      <c r="X372" s="22"/>
      <c r="Y372" s="22"/>
      <c r="Z372" s="22"/>
      <c r="AA372" s="397">
        <f>AVERAGE(AA4:AA368)</f>
        <v>9.5890410958904102</v>
      </c>
      <c r="AB372" s="397">
        <f>AVERAGE(AB4:AB368)</f>
        <v>6.7123287671232887</v>
      </c>
    </row>
    <row r="373" spans="2:28">
      <c r="B373" s="22"/>
      <c r="C373" s="22"/>
      <c r="D373" s="22"/>
      <c r="E373" s="22"/>
      <c r="F373" s="22"/>
      <c r="G373" s="22"/>
      <c r="H373" s="22"/>
      <c r="I373" s="22"/>
      <c r="J373" s="22"/>
      <c r="K373" s="395">
        <f>MAX(K4:K368)</f>
        <v>31.4</v>
      </c>
      <c r="L373" s="22"/>
      <c r="M373" s="22"/>
      <c r="N373" s="395">
        <f>MIN(N4:N368)</f>
        <v>-6.2</v>
      </c>
      <c r="O373" s="395">
        <f>MIN(O4:O368)</f>
        <v>-8.6</v>
      </c>
      <c r="P373" s="395">
        <f>MIN(P4:P368)</f>
        <v>-5.6</v>
      </c>
      <c r="Q373" s="22"/>
      <c r="R373" s="22"/>
      <c r="S373" s="22"/>
      <c r="T373" s="397">
        <f>MAX(T4:T368)</f>
        <v>33.9</v>
      </c>
      <c r="U373" s="22"/>
      <c r="V373" s="22"/>
      <c r="W373" s="397">
        <f>AVERAGE(W4:W368)</f>
        <v>4.5541758241758226</v>
      </c>
      <c r="X373" s="22"/>
      <c r="Y373" s="22"/>
      <c r="Z373" s="22"/>
      <c r="AA373" s="22"/>
      <c r="AB373" s="22"/>
    </row>
    <row r="374" spans="2:28">
      <c r="B374" s="22"/>
      <c r="C374" s="22"/>
      <c r="D374" s="22"/>
      <c r="E374" s="22"/>
      <c r="F374" s="22"/>
      <c r="G374" s="22"/>
      <c r="H374" s="22"/>
      <c r="I374" s="22"/>
      <c r="J374" s="22"/>
      <c r="K374" t="s">
        <v>116</v>
      </c>
      <c r="L374" s="22"/>
      <c r="M374" s="22"/>
      <c r="N374" s="22"/>
      <c r="O374" s="22"/>
      <c r="P374" s="22"/>
      <c r="Q374" s="22"/>
      <c r="R374" s="22"/>
      <c r="S374" s="22"/>
      <c r="T374" s="22"/>
      <c r="U374" s="22"/>
      <c r="V374" s="22"/>
      <c r="W374" s="22"/>
      <c r="X374" s="22"/>
      <c r="Y374" s="22"/>
      <c r="Z374" s="22"/>
      <c r="AA374" s="22"/>
      <c r="AB374" s="22"/>
    </row>
    <row r="375" spans="2:28">
      <c r="B375" s="22"/>
      <c r="C375" s="22"/>
      <c r="D375" s="22"/>
      <c r="E375" s="22"/>
      <c r="F375" s="22"/>
      <c r="G375" s="22"/>
      <c r="H375" s="22"/>
      <c r="I375" s="22"/>
      <c r="J375" s="22"/>
      <c r="K375" s="395">
        <f>MIN(K4:K368)</f>
        <v>-0.5</v>
      </c>
      <c r="L375" s="22"/>
      <c r="M375" s="22"/>
      <c r="N375" s="22"/>
      <c r="O375" s="22"/>
      <c r="P375" s="22"/>
      <c r="Q375" s="22"/>
      <c r="R375" s="22"/>
      <c r="S375" s="22"/>
      <c r="T375" s="22"/>
      <c r="U375" s="22"/>
      <c r="V375" s="22"/>
      <c r="W375" s="22"/>
      <c r="X375" s="22"/>
      <c r="Y375" s="22"/>
      <c r="Z375" s="22"/>
      <c r="AA375" s="22"/>
      <c r="AB375" s="22"/>
    </row>
    <row r="376" spans="2:28">
      <c r="B376" s="22"/>
      <c r="C376" s="22"/>
      <c r="D376" s="22"/>
      <c r="E376" s="22"/>
      <c r="F376" s="22"/>
      <c r="G376" s="22"/>
      <c r="H376" s="22"/>
      <c r="I376" s="22"/>
      <c r="J376" s="22"/>
      <c r="K376" s="22"/>
      <c r="L376" s="22"/>
      <c r="M376" s="22"/>
      <c r="N376" s="22"/>
      <c r="O376" s="22"/>
      <c r="P376" s="22"/>
      <c r="Q376" s="22"/>
      <c r="R376" s="22"/>
      <c r="S376" s="22"/>
      <c r="T376" s="22"/>
      <c r="U376" s="22"/>
      <c r="V376" s="22"/>
      <c r="W376" s="22"/>
      <c r="X376" s="22"/>
      <c r="Y376" s="22"/>
      <c r="Z376" s="22"/>
      <c r="AA376" s="22"/>
      <c r="AB376" s="22"/>
    </row>
  </sheetData>
  <mergeCells count="23">
    <mergeCell ref="A1:A3"/>
    <mergeCell ref="M2:M3"/>
    <mergeCell ref="Z1:Z3"/>
    <mergeCell ref="AA1:AA3"/>
    <mergeCell ref="AB1:AB3"/>
    <mergeCell ref="G2:G3"/>
    <mergeCell ref="H2:H3"/>
    <mergeCell ref="I2:I3"/>
    <mergeCell ref="K2:K3"/>
    <mergeCell ref="L2:L3"/>
    <mergeCell ref="T1:T3"/>
    <mergeCell ref="U1:U3"/>
    <mergeCell ref="V1:V3"/>
    <mergeCell ref="W1:W3"/>
    <mergeCell ref="X1:X3"/>
    <mergeCell ref="Y1:Y3"/>
    <mergeCell ref="B1:B3"/>
    <mergeCell ref="C1:C3"/>
    <mergeCell ref="E1:E3"/>
    <mergeCell ref="F1:F3"/>
    <mergeCell ref="G1:S1"/>
    <mergeCell ref="Q2:S2"/>
    <mergeCell ref="D1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Summary</vt:lpstr>
      <vt:lpstr>Daily_data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rms</dc:creator>
  <cp:keywords/>
  <dc:description/>
  <cp:lastModifiedBy>Charlie Knight</cp:lastModifiedBy>
  <cp:revision/>
  <dcterms:created xsi:type="dcterms:W3CDTF">2002-01-24T13:32:30Z</dcterms:created>
  <dcterms:modified xsi:type="dcterms:W3CDTF">2024-03-07T08:34:29Z</dcterms:modified>
  <cp:category/>
  <cp:contentStatus/>
</cp:coreProperties>
</file>